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Trocadéro\"/>
    </mc:Choice>
  </mc:AlternateContent>
  <bookViews>
    <workbookView xWindow="0" yWindow="0" windowWidth="19440" windowHeight="11985" activeTab="3"/>
  </bookViews>
  <sheets>
    <sheet name="BP Sophrokhepri" sheetId="1" r:id="rId1"/>
    <sheet name="Début BP" sheetId="4" r:id="rId2"/>
    <sheet name="Structure des flux" sheetId="5" r:id="rId3"/>
    <sheet name="DECOUPAGE POUR PREZ" sheetId="2" r:id="rId4"/>
  </sheets>
  <definedNames>
    <definedName name="_xlnm.Print_Area" localSheetId="0">'BP Sophrokhepri'!$A$1:$J$83</definedName>
    <definedName name="_xlnm.Print_Area" localSheetId="1">'Début BP'!$A$1:$D$58</definedName>
  </definedNames>
  <calcPr calcId="152511"/>
</workbook>
</file>

<file path=xl/calcChain.xml><?xml version="1.0" encoding="utf-8"?>
<calcChain xmlns="http://schemas.openxmlformats.org/spreadsheetml/2006/main">
  <c r="L32" i="1" l="1"/>
  <c r="F43" i="1" l="1"/>
  <c r="I20" i="1" l="1"/>
  <c r="J20" i="1" s="1"/>
  <c r="G17" i="1"/>
  <c r="H17" i="1" s="1"/>
  <c r="I17" i="1" s="1"/>
  <c r="J17" i="1" s="1"/>
  <c r="G25" i="1"/>
  <c r="I25" i="1" s="1"/>
  <c r="H25" i="1"/>
  <c r="J25" i="1" s="1"/>
  <c r="F25" i="1"/>
  <c r="G23" i="1"/>
  <c r="H23" i="1" s="1"/>
  <c r="I23" i="1" s="1"/>
  <c r="J23" i="1" s="1"/>
  <c r="G15" i="1"/>
  <c r="G21" i="1"/>
  <c r="H21" i="1" s="1"/>
  <c r="I21" i="1" s="1"/>
  <c r="J21" i="1" s="1"/>
  <c r="G6" i="1" l="1"/>
  <c r="H6" i="1" s="1"/>
  <c r="I6" i="1" s="1"/>
  <c r="J6" i="1" s="1"/>
  <c r="G8" i="1"/>
  <c r="H8" i="1" s="1"/>
  <c r="I8" i="1" s="1"/>
  <c r="J8" i="1" s="1"/>
  <c r="G12" i="1"/>
  <c r="H12" i="1" s="1"/>
  <c r="I12" i="1" s="1"/>
  <c r="J12" i="1" s="1"/>
  <c r="H10" i="1"/>
  <c r="I10" i="1" s="1"/>
  <c r="J10" i="1" s="1"/>
  <c r="G7" i="1"/>
  <c r="H7" i="1" s="1"/>
  <c r="I7" i="1" s="1"/>
  <c r="J7" i="1" s="1"/>
  <c r="G9" i="1"/>
  <c r="H9" i="1" s="1"/>
  <c r="I9" i="1" s="1"/>
  <c r="J9" i="1" s="1"/>
  <c r="G11" i="1"/>
  <c r="H11" i="1" s="1"/>
  <c r="I11" i="1" s="1"/>
  <c r="J11" i="1" s="1"/>
  <c r="H15" i="1"/>
  <c r="I15" i="1" s="1"/>
  <c r="J15" i="1" s="1"/>
  <c r="G14" i="1" l="1"/>
  <c r="D57" i="1" l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D54" i="1"/>
  <c r="F54" i="1" s="1"/>
  <c r="G54" i="1" s="1"/>
  <c r="H54" i="1" s="1"/>
  <c r="I54" i="1" s="1"/>
  <c r="J54" i="1" s="1"/>
  <c r="D74" i="1"/>
  <c r="H55" i="1" l="1"/>
  <c r="I55" i="1" s="1"/>
  <c r="J55" i="1" s="1"/>
  <c r="G22" i="1"/>
  <c r="B30" i="1" l="1"/>
  <c r="AB10" i="1" l="1"/>
  <c r="AB6" i="1"/>
  <c r="AC11" i="1"/>
  <c r="AB36" i="1" l="1"/>
  <c r="AA22" i="1"/>
  <c r="P14" i="1"/>
  <c r="G26" i="1"/>
  <c r="G24" i="1"/>
  <c r="H45" i="4"/>
  <c r="H36" i="4"/>
  <c r="H40" i="4" s="1"/>
  <c r="H49" i="4" s="1"/>
  <c r="H27" i="4"/>
  <c r="C10" i="4"/>
  <c r="E14" i="4"/>
  <c r="E19" i="4" s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U7" i="1" l="1"/>
  <c r="BA7" i="1" s="1"/>
  <c r="AP7" i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D45" i="4"/>
  <c r="E45" i="4"/>
  <c r="F45" i="4"/>
  <c r="G45" i="4"/>
  <c r="R10" i="1" l="1"/>
  <c r="V10" i="1"/>
  <c r="L34" i="2"/>
  <c r="N34" i="2" s="1"/>
  <c r="C28" i="2" l="1"/>
  <c r="C77" i="2"/>
  <c r="C70" i="2"/>
  <c r="O27" i="1"/>
  <c r="C45" i="4"/>
  <c r="G27" i="4"/>
  <c r="F27" i="4"/>
  <c r="E27" i="4"/>
  <c r="D27" i="4"/>
  <c r="C27" i="4"/>
  <c r="F3" i="4"/>
  <c r="D6" i="4"/>
  <c r="E6" i="4" s="1"/>
  <c r="F6" i="4" s="1"/>
  <c r="G6" i="4" s="1"/>
  <c r="H6" i="4" s="1"/>
  <c r="D5" i="4"/>
  <c r="G36" i="4"/>
  <c r="G40" i="4" s="1"/>
  <c r="AD44" i="2"/>
  <c r="AD34" i="2"/>
  <c r="AD30" i="2"/>
  <c r="AD26" i="2"/>
  <c r="Z44" i="2"/>
  <c r="Z34" i="2"/>
  <c r="Z30" i="2"/>
  <c r="Z26" i="2"/>
  <c r="V34" i="2"/>
  <c r="V30" i="2"/>
  <c r="V26" i="2"/>
  <c r="R34" i="2"/>
  <c r="R26" i="2"/>
  <c r="J46" i="2"/>
  <c r="N30" i="2"/>
  <c r="L30" i="2"/>
  <c r="J30" i="2"/>
  <c r="M26" i="2"/>
  <c r="J26" i="2"/>
  <c r="L38" i="2"/>
  <c r="G93" i="2"/>
  <c r="G94" i="2"/>
  <c r="G95" i="2"/>
  <c r="F93" i="2"/>
  <c r="F94" i="2"/>
  <c r="F95" i="2"/>
  <c r="E93" i="2"/>
  <c r="E94" i="2"/>
  <c r="E95" i="2"/>
  <c r="D93" i="2"/>
  <c r="D94" i="2"/>
  <c r="D95" i="2"/>
  <c r="C93" i="2"/>
  <c r="C94" i="2"/>
  <c r="C95" i="2"/>
  <c r="G79" i="2"/>
  <c r="F79" i="2"/>
  <c r="E79" i="2"/>
  <c r="D79" i="2"/>
  <c r="C79" i="2"/>
  <c r="B75" i="2"/>
  <c r="B77" i="2"/>
  <c r="B78" i="2"/>
  <c r="B79" i="2"/>
  <c r="G71" i="2"/>
  <c r="F71" i="2"/>
  <c r="E71" i="2"/>
  <c r="D71" i="2"/>
  <c r="C71" i="2"/>
  <c r="C53" i="2"/>
  <c r="C54" i="2"/>
  <c r="C55" i="2"/>
  <c r="C57" i="2"/>
  <c r="C58" i="2"/>
  <c r="C59" i="2"/>
  <c r="G53" i="2"/>
  <c r="G54" i="2"/>
  <c r="G55" i="2"/>
  <c r="G57" i="2"/>
  <c r="G58" i="2"/>
  <c r="G59" i="2"/>
  <c r="F53" i="2"/>
  <c r="F54" i="2"/>
  <c r="F55" i="2"/>
  <c r="F57" i="2"/>
  <c r="F58" i="2"/>
  <c r="F59" i="2"/>
  <c r="E53" i="2"/>
  <c r="E54" i="2"/>
  <c r="E55" i="2"/>
  <c r="E57" i="2"/>
  <c r="E58" i="2"/>
  <c r="E59" i="2"/>
  <c r="D53" i="2"/>
  <c r="D54" i="2"/>
  <c r="D55" i="2"/>
  <c r="D57" i="2"/>
  <c r="D58" i="2"/>
  <c r="D59" i="2"/>
  <c r="C44" i="2"/>
  <c r="D44" i="2"/>
  <c r="E44" i="2"/>
  <c r="F44" i="2"/>
  <c r="G44" i="2"/>
  <c r="C45" i="2"/>
  <c r="D45" i="2"/>
  <c r="E45" i="2"/>
  <c r="F45" i="2"/>
  <c r="G45" i="2"/>
  <c r="C29" i="2"/>
  <c r="C30" i="2"/>
  <c r="C31" i="2"/>
  <c r="D31" i="2"/>
  <c r="C33" i="2"/>
  <c r="C34" i="2"/>
  <c r="D34" i="2"/>
  <c r="E34" i="2"/>
  <c r="C35" i="2"/>
  <c r="C36" i="2"/>
  <c r="E36" i="2"/>
  <c r="C37" i="2"/>
  <c r="C38" i="2"/>
  <c r="D41" i="2"/>
  <c r="E41" i="2"/>
  <c r="F41" i="2"/>
  <c r="G41" i="2"/>
  <c r="G76" i="1"/>
  <c r="G57" i="1" s="1"/>
  <c r="G24" i="2"/>
  <c r="F24" i="2"/>
  <c r="E24" i="2"/>
  <c r="D24" i="2"/>
  <c r="R14" i="1"/>
  <c r="D8" i="1" s="1"/>
  <c r="P48" i="1"/>
  <c r="F25" i="2"/>
  <c r="B41" i="2"/>
  <c r="F16" i="1"/>
  <c r="F36" i="4"/>
  <c r="F40" i="4" s="1"/>
  <c r="E36" i="4"/>
  <c r="E40" i="4" s="1"/>
  <c r="G3" i="4" l="1"/>
  <c r="E31" i="2"/>
  <c r="E5" i="4"/>
  <c r="D10" i="4"/>
  <c r="G16" i="1"/>
  <c r="C32" i="2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K46" i="2"/>
  <c r="Z34" i="1"/>
  <c r="R48" i="1"/>
  <c r="S48" i="1" s="1"/>
  <c r="Z16" i="1"/>
  <c r="AA16" i="1" s="1"/>
  <c r="R30" i="2" s="1"/>
  <c r="C90" i="2"/>
  <c r="C24" i="2"/>
  <c r="D28" i="2"/>
  <c r="K26" i="2"/>
  <c r="U44" i="2" s="1"/>
  <c r="W44" i="2" s="1"/>
  <c r="AA26" i="2"/>
  <c r="K30" i="2"/>
  <c r="Y26" i="2"/>
  <c r="AC34" i="2"/>
  <c r="S34" i="2"/>
  <c r="AA34" i="2"/>
  <c r="D29" i="2"/>
  <c r="Q34" i="2"/>
  <c r="Y34" i="2"/>
  <c r="F23" i="2"/>
  <c r="D23" i="2"/>
  <c r="P27" i="1"/>
  <c r="G23" i="2"/>
  <c r="G49" i="4"/>
  <c r="F49" i="4"/>
  <c r="E49" i="4"/>
  <c r="AE34" i="2"/>
  <c r="H16" i="1" l="1"/>
  <c r="E29" i="2"/>
  <c r="F5" i="4"/>
  <c r="E10" i="4"/>
  <c r="E29" i="4" s="1"/>
  <c r="F48" i="4" s="1"/>
  <c r="G48" i="4" s="1"/>
  <c r="H48" i="4" s="1"/>
  <c r="H50" i="4" s="1"/>
  <c r="H3" i="4"/>
  <c r="E32" i="2"/>
  <c r="BP26" i="1"/>
  <c r="BA26" i="1"/>
  <c r="AA25" i="1"/>
  <c r="AK26" i="1" s="1"/>
  <c r="BK26" i="1"/>
  <c r="BF26" i="1"/>
  <c r="AF25" i="1"/>
  <c r="AP26" i="1"/>
  <c r="AU26" i="1"/>
  <c r="M30" i="2"/>
  <c r="O30" i="2" s="1"/>
  <c r="L46" i="2"/>
  <c r="Q27" i="1"/>
  <c r="M46" i="2" s="1"/>
  <c r="Q33" i="1"/>
  <c r="L26" i="2"/>
  <c r="Q44" i="2"/>
  <c r="S44" i="2" s="1"/>
  <c r="D32" i="2"/>
  <c r="C26" i="2"/>
  <c r="AA44" i="2"/>
  <c r="Y44" i="2"/>
  <c r="U30" i="2"/>
  <c r="AC30" i="2"/>
  <c r="AC26" i="2"/>
  <c r="Q30" i="2"/>
  <c r="Y30" i="2"/>
  <c r="Q26" i="2"/>
  <c r="U26" i="2"/>
  <c r="AE44" i="2"/>
  <c r="AC44" i="2"/>
  <c r="U34" i="2"/>
  <c r="E23" i="2"/>
  <c r="W34" i="2"/>
  <c r="J59" i="2"/>
  <c r="J54" i="2"/>
  <c r="A1" i="2"/>
  <c r="A3" i="2" s="1"/>
  <c r="F50" i="4" l="1"/>
  <c r="G50" i="4"/>
  <c r="G5" i="4"/>
  <c r="F10" i="4"/>
  <c r="F29" i="4" s="1"/>
  <c r="I16" i="1"/>
  <c r="F29" i="2"/>
  <c r="BF35" i="1"/>
  <c r="BK35" i="1"/>
  <c r="AP35" i="1"/>
  <c r="BP35" i="1"/>
  <c r="AU35" i="1"/>
  <c r="AA34" i="1"/>
  <c r="AK35" i="1"/>
  <c r="BA35" i="1"/>
  <c r="AF34" i="1"/>
  <c r="N46" i="2"/>
  <c r="D25" i="2"/>
  <c r="S26" i="2"/>
  <c r="G25" i="2"/>
  <c r="AE26" i="2"/>
  <c r="E25" i="2"/>
  <c r="W26" i="2"/>
  <c r="F26" i="2"/>
  <c r="AA30" i="2"/>
  <c r="E26" i="2"/>
  <c r="W30" i="2"/>
  <c r="D26" i="2"/>
  <c r="S30" i="2"/>
  <c r="AE30" i="2"/>
  <c r="G26" i="2"/>
  <c r="M40" i="1"/>
  <c r="M45" i="1"/>
  <c r="G29" i="2" l="1"/>
  <c r="J16" i="1"/>
  <c r="H5" i="4"/>
  <c r="H10" i="4" s="1"/>
  <c r="H29" i="4" s="1"/>
  <c r="G10" i="4"/>
  <c r="G29" i="4" s="1"/>
  <c r="F32" i="2"/>
  <c r="C41" i="2"/>
  <c r="C23" i="2"/>
  <c r="F75" i="1"/>
  <c r="F56" i="1" s="1"/>
  <c r="G32" i="2" l="1"/>
  <c r="B74" i="2"/>
  <c r="B80" i="2"/>
  <c r="D36" i="2"/>
  <c r="G18" i="1"/>
  <c r="G75" i="1" s="1"/>
  <c r="G56" i="1" s="1"/>
  <c r="D30" i="2"/>
  <c r="D38" i="2"/>
  <c r="C76" i="2"/>
  <c r="B76" i="2"/>
  <c r="E35" i="2"/>
  <c r="D35" i="2"/>
  <c r="F34" i="2"/>
  <c r="D37" i="2"/>
  <c r="H19" i="1"/>
  <c r="C67" i="2"/>
  <c r="C41" i="5"/>
  <c r="A39" i="5"/>
  <c r="A10" i="5"/>
  <c r="A6" i="5"/>
  <c r="A29" i="5" s="1"/>
  <c r="A41" i="5" s="1"/>
  <c r="D36" i="4"/>
  <c r="D40" i="4" s="1"/>
  <c r="C36" i="4"/>
  <c r="C40" i="4" s="1"/>
  <c r="C14" i="4"/>
  <c r="C19" i="4" s="1"/>
  <c r="P19" i="1"/>
  <c r="A1" i="1"/>
  <c r="A3" i="1" s="1"/>
  <c r="H76" i="1" l="1"/>
  <c r="H57" i="1" s="1"/>
  <c r="C68" i="2"/>
  <c r="G34" i="2"/>
  <c r="H24" i="1"/>
  <c r="F35" i="2" s="1"/>
  <c r="C39" i="2"/>
  <c r="F36" i="2"/>
  <c r="D33" i="2"/>
  <c r="E38" i="2"/>
  <c r="I19" i="1"/>
  <c r="F31" i="2"/>
  <c r="H26" i="1"/>
  <c r="E37" i="2"/>
  <c r="H18" i="1"/>
  <c r="E30" i="2"/>
  <c r="R6" i="1"/>
  <c r="D49" i="4"/>
  <c r="C49" i="4"/>
  <c r="D29" i="4"/>
  <c r="E48" i="4" s="1"/>
  <c r="E50" i="4" s="1"/>
  <c r="C29" i="4"/>
  <c r="C48" i="4" s="1"/>
  <c r="I76" i="1" l="1"/>
  <c r="I57" i="1" s="1"/>
  <c r="B81" i="2"/>
  <c r="B82" i="2"/>
  <c r="I24" i="1"/>
  <c r="J24" i="1" s="1"/>
  <c r="D68" i="2"/>
  <c r="G31" i="2"/>
  <c r="J19" i="1"/>
  <c r="G36" i="2"/>
  <c r="D14" i="1"/>
  <c r="D32" i="1" s="1"/>
  <c r="N26" i="2"/>
  <c r="F61" i="1"/>
  <c r="D76" i="2"/>
  <c r="F38" i="2"/>
  <c r="D67" i="2"/>
  <c r="H22" i="1"/>
  <c r="H75" i="1" s="1"/>
  <c r="H56" i="1" s="1"/>
  <c r="E33" i="2"/>
  <c r="I18" i="1"/>
  <c r="F30" i="2"/>
  <c r="I26" i="1"/>
  <c r="F37" i="2"/>
  <c r="C50" i="4"/>
  <c r="C53" i="4" s="1"/>
  <c r="D53" i="4" s="1"/>
  <c r="D48" i="4"/>
  <c r="D50" i="4" s="1"/>
  <c r="J76" i="1" l="1"/>
  <c r="J57" i="1" s="1"/>
  <c r="D37" i="1"/>
  <c r="D40" i="1" s="1"/>
  <c r="D39" i="2"/>
  <c r="D33" i="1"/>
  <c r="G35" i="2"/>
  <c r="E68" i="2"/>
  <c r="G37" i="2"/>
  <c r="J26" i="1"/>
  <c r="G38" i="2"/>
  <c r="G30" i="2"/>
  <c r="J18" i="1"/>
  <c r="C74" i="2"/>
  <c r="E67" i="2"/>
  <c r="I22" i="1"/>
  <c r="I75" i="1" s="1"/>
  <c r="I56" i="1" s="1"/>
  <c r="F33" i="2"/>
  <c r="E76" i="2"/>
  <c r="C54" i="4"/>
  <c r="D54" i="4" s="1"/>
  <c r="E28" i="2"/>
  <c r="D53" i="1" l="1"/>
  <c r="F68" i="2"/>
  <c r="G33" i="2"/>
  <c r="J22" i="1"/>
  <c r="J75" i="1" s="1"/>
  <c r="J56" i="1" s="1"/>
  <c r="C25" i="2"/>
  <c r="C27" i="2"/>
  <c r="G28" i="1"/>
  <c r="D74" i="2"/>
  <c r="F76" i="2"/>
  <c r="F67" i="2"/>
  <c r="F14" i="1"/>
  <c r="C55" i="4"/>
  <c r="C56" i="4" s="1"/>
  <c r="F74" i="1" l="1"/>
  <c r="F65" i="1" s="1"/>
  <c r="F32" i="1"/>
  <c r="G61" i="1"/>
  <c r="G32" i="1"/>
  <c r="G68" i="2"/>
  <c r="G67" i="2"/>
  <c r="G76" i="2"/>
  <c r="E27" i="2"/>
  <c r="E39" i="2"/>
  <c r="G28" i="2"/>
  <c r="F28" i="2"/>
  <c r="D27" i="2"/>
  <c r="D55" i="4"/>
  <c r="C57" i="4"/>
  <c r="D57" i="4" s="1"/>
  <c r="D56" i="4"/>
  <c r="C88" i="2" l="1"/>
  <c r="F27" i="2"/>
  <c r="C78" i="2"/>
  <c r="H28" i="1"/>
  <c r="E74" i="2"/>
  <c r="H61" i="1" l="1"/>
  <c r="H32" i="1"/>
  <c r="G27" i="2"/>
  <c r="F39" i="2"/>
  <c r="C40" i="2" l="1"/>
  <c r="F37" i="1"/>
  <c r="I28" i="1"/>
  <c r="F74" i="2"/>
  <c r="I61" i="1" l="1"/>
  <c r="I32" i="1"/>
  <c r="F53" i="1"/>
  <c r="C75" i="2"/>
  <c r="C43" i="2"/>
  <c r="C42" i="2"/>
  <c r="D75" i="2"/>
  <c r="G39" i="2"/>
  <c r="D40" i="2"/>
  <c r="F59" i="1" l="1"/>
  <c r="D42" i="2"/>
  <c r="F40" i="1"/>
  <c r="G74" i="2"/>
  <c r="J28" i="1"/>
  <c r="C47" i="2"/>
  <c r="C46" i="2"/>
  <c r="F33" i="1"/>
  <c r="D43" i="2" s="1"/>
  <c r="J61" i="1" l="1"/>
  <c r="J32" i="1"/>
  <c r="E40" i="2"/>
  <c r="D46" i="2"/>
  <c r="C66" i="2"/>
  <c r="E75" i="2"/>
  <c r="C52" i="2"/>
  <c r="D52" i="2"/>
  <c r="D47" i="2"/>
  <c r="D66" i="2"/>
  <c r="E42" i="2" l="1"/>
  <c r="G37" i="1"/>
  <c r="G53" i="1" s="1"/>
  <c r="G59" i="1" s="1"/>
  <c r="C80" i="2"/>
  <c r="G33" i="1"/>
  <c r="E43" i="2" s="1"/>
  <c r="E46" i="2"/>
  <c r="D68" i="1" l="1"/>
  <c r="F75" i="2"/>
  <c r="H37" i="1"/>
  <c r="H53" i="1" s="1"/>
  <c r="F40" i="2"/>
  <c r="H59" i="1" l="1"/>
  <c r="E47" i="2"/>
  <c r="G40" i="1"/>
  <c r="C81" i="2"/>
  <c r="G40" i="2"/>
  <c r="E66" i="2"/>
  <c r="F42" i="2"/>
  <c r="H33" i="1"/>
  <c r="F43" i="2" s="1"/>
  <c r="E52" i="2" l="1"/>
  <c r="H40" i="1"/>
  <c r="F46" i="2"/>
  <c r="G42" i="2" l="1"/>
  <c r="I36" i="1"/>
  <c r="I37" i="1" s="1"/>
  <c r="I53" i="1" s="1"/>
  <c r="G75" i="2"/>
  <c r="I33" i="1"/>
  <c r="G43" i="2" s="1"/>
  <c r="F47" i="2"/>
  <c r="I59" i="1" l="1"/>
  <c r="G46" i="2"/>
  <c r="F66" i="2"/>
  <c r="F52" i="2"/>
  <c r="J36" i="1" l="1"/>
  <c r="J37" i="1" s="1"/>
  <c r="J53" i="1" s="1"/>
  <c r="J59" i="1" s="1"/>
  <c r="G47" i="2"/>
  <c r="I40" i="1"/>
  <c r="J33" i="1"/>
  <c r="J40" i="1" l="1"/>
  <c r="G52" i="2"/>
  <c r="G66" i="2"/>
  <c r="F88" i="2" l="1"/>
  <c r="D89" i="2"/>
  <c r="E89" i="2"/>
  <c r="F90" i="2"/>
  <c r="F70" i="2"/>
  <c r="G90" i="2"/>
  <c r="E88" i="2"/>
  <c r="D88" i="2"/>
  <c r="D69" i="2"/>
  <c r="D70" i="2"/>
  <c r="D90" i="2"/>
  <c r="E90" i="2"/>
  <c r="E70" i="2"/>
  <c r="F89" i="2"/>
  <c r="G89" i="2"/>
  <c r="G78" i="2"/>
  <c r="G88" i="2"/>
  <c r="G69" i="2"/>
  <c r="F78" i="2"/>
  <c r="G70" i="2"/>
  <c r="E78" i="2"/>
  <c r="D72" i="2" l="1"/>
  <c r="E72" i="2"/>
  <c r="F72" i="2"/>
  <c r="G72" i="2"/>
  <c r="F69" i="2"/>
  <c r="E69" i="2"/>
  <c r="D78" i="2"/>
  <c r="F77" i="2"/>
  <c r="H73" i="1"/>
  <c r="H77" i="1" s="1"/>
  <c r="F91" i="2" l="1"/>
  <c r="G77" i="2"/>
  <c r="I73" i="1"/>
  <c r="I77" i="1" s="1"/>
  <c r="G91" i="2" l="1"/>
  <c r="I78" i="1"/>
  <c r="I44" i="1" s="1"/>
  <c r="G92" i="2" l="1"/>
  <c r="G56" i="2" l="1"/>
  <c r="D77" i="2" l="1"/>
  <c r="F73" i="1"/>
  <c r="F77" i="1" s="1"/>
  <c r="D91" i="2" l="1"/>
  <c r="J73" i="1" l="1"/>
  <c r="J77" i="1" s="1"/>
  <c r="J78" i="1" s="1"/>
  <c r="J44" i="1" s="1"/>
  <c r="E77" i="2"/>
  <c r="G73" i="1"/>
  <c r="G77" i="1" s="1"/>
  <c r="H78" i="1" l="1"/>
  <c r="H44" i="1" s="1"/>
  <c r="E91" i="2"/>
  <c r="G78" i="1"/>
  <c r="G44" i="1" s="1"/>
  <c r="E92" i="2" l="1"/>
  <c r="F92" i="2"/>
  <c r="F56" i="2" l="1"/>
  <c r="E56" i="2"/>
  <c r="C69" i="2" l="1"/>
  <c r="D59" i="1"/>
  <c r="C72" i="2" s="1"/>
  <c r="C89" i="2"/>
  <c r="D77" i="1"/>
  <c r="F78" i="1" s="1"/>
  <c r="F44" i="1" s="1"/>
  <c r="D69" i="1" l="1"/>
  <c r="C82" i="2" s="1"/>
  <c r="D92" i="2"/>
  <c r="C91" i="2"/>
  <c r="D78" i="1"/>
  <c r="D44" i="1" s="1"/>
  <c r="C92" i="2" l="1"/>
  <c r="D56" i="2"/>
  <c r="C56" i="2" l="1"/>
  <c r="D50" i="1"/>
  <c r="F50" i="1" s="1"/>
  <c r="F67" i="1" l="1"/>
  <c r="D80" i="2" s="1"/>
  <c r="G50" i="1"/>
  <c r="D60" i="2"/>
  <c r="D70" i="1"/>
  <c r="C60" i="2"/>
  <c r="F68" i="1" l="1"/>
  <c r="D81" i="2" s="1"/>
  <c r="F70" i="1"/>
  <c r="G67" i="1"/>
  <c r="H50" i="1"/>
  <c r="E60" i="2"/>
  <c r="F69" i="1" l="1"/>
  <c r="D82" i="2" s="1"/>
  <c r="H67" i="1"/>
  <c r="I50" i="1"/>
  <c r="F60" i="2"/>
  <c r="G70" i="1"/>
  <c r="G68" i="1"/>
  <c r="E80" i="2"/>
  <c r="G69" i="1" l="1"/>
  <c r="E82" i="2" s="1"/>
  <c r="E81" i="2"/>
  <c r="I67" i="1"/>
  <c r="J50" i="1"/>
  <c r="J67" i="1" s="1"/>
  <c r="G60" i="2"/>
  <c r="H70" i="1"/>
  <c r="H68" i="1"/>
  <c r="F80" i="2"/>
  <c r="J70" i="1" l="1"/>
  <c r="J68" i="1"/>
  <c r="J69" i="1" s="1"/>
  <c r="H69" i="1"/>
  <c r="F82" i="2" s="1"/>
  <c r="F81" i="2"/>
  <c r="I68" i="1"/>
  <c r="G80" i="2"/>
  <c r="I70" i="1"/>
  <c r="I69" i="1" l="1"/>
  <c r="G82" i="2" s="1"/>
  <c r="G81" i="2"/>
</calcChain>
</file>

<file path=xl/sharedStrings.xml><?xml version="1.0" encoding="utf-8"?>
<sst xmlns="http://schemas.openxmlformats.org/spreadsheetml/2006/main" count="812" uniqueCount="364">
  <si>
    <t>Total CA</t>
  </si>
  <si>
    <t>taux</t>
  </si>
  <si>
    <t>total h</t>
  </si>
  <si>
    <t>prix/f/an</t>
  </si>
  <si>
    <t>MAD salles conférence</t>
  </si>
  <si>
    <t>salles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</si>
  <si>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</si>
  <si>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</si>
  <si>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</si>
  <si>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</si>
  <si>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</si>
  <si>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</si>
  <si>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</si>
  <si>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</si>
  <si>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</si>
  <si>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</si>
  <si>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</si>
  <si>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</si>
  <si>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</si>
  <si>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</si>
  <si>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</si>
  <si>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</si>
  <si>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</si>
  <si>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</si>
  <si>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</si>
  <si>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</si>
  <si>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</si>
  <si>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</si>
  <si>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</si>
  <si>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internet/tel</t>
  </si>
  <si>
    <t>logiciel prise rdv</t>
  </si>
  <si>
    <t>ménage</t>
  </si>
  <si>
    <t>ss tot charges autres</t>
  </si>
  <si>
    <t>TOTAL Charges annuelles</t>
  </si>
  <si>
    <t>prévision C.A.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</si>
  <si>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</si>
  <si>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</si>
  <si>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</si>
  <si>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</si>
  <si>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</si>
  <si>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</si>
  <si>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</si>
  <si>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</si>
  <si>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</si>
  <si>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</si>
  <si>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</si>
  <si>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</si>
  <si>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</si>
  <si>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</si>
  <si>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</si>
  <si>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</si>
  <si>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</si>
  <si>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</si>
  <si>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</si>
  <si>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</si>
  <si>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</si>
  <si>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</si>
  <si>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</si>
  <si>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</si>
  <si>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</si>
  <si>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</si>
  <si>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</si>
  <si>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</si>
  <si>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</si>
  <si>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</si>
  <si>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</si>
  <si>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</si>
  <si>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</si>
  <si>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</si>
  <si>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</si>
  <si>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</si>
  <si>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</si>
  <si>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</si>
  <si>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</si>
  <si>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</si>
  <si>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</si>
  <si>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</si>
  <si>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</si>
  <si>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</si>
  <si>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</si>
  <si>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</si>
  <si>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</si>
  <si>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</si>
  <si>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</si>
  <si>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</si>
  <si>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</si>
  <si>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</si>
  <si>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</si>
  <si>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</si>
  <si>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</si>
  <si>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</si>
  <si>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</si>
  <si>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</si>
  <si>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</si>
  <si>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</si>
  <si>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</si>
  <si>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</si>
  <si>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</si>
  <si>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</si>
  <si>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</si>
  <si>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</si>
  <si>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</si>
  <si>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</si>
  <si>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</si>
  <si>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</si>
  <si>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</si>
  <si>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</si>
  <si>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</si>
  <si>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</si>
  <si>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</si>
  <si>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</si>
  <si>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</si>
  <si>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</si>
  <si>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</si>
  <si>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</si>
  <si>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</si>
  <si>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</si>
  <si>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</si>
  <si>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</si>
  <si>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</si>
  <si>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</si>
  <si>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</si>
  <si>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</si>
  <si>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</si>
  <si>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</si>
  <si>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</si>
  <si>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</si>
  <si>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</si>
  <si>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</si>
  <si>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</si>
  <si>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</si>
  <si>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</si>
  <si>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</si>
  <si>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</si>
  <si>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</si>
  <si>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</si>
  <si>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</si>
  <si>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</si>
  <si>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</si>
  <si>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</si>
  <si>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</si>
  <si>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</si>
  <si>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</si>
  <si>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</si>
  <si>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</si>
  <si>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</si>
  <si>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</si>
  <si>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</si>
  <si>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</si>
  <si>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</si>
  <si>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</si>
  <si>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</si>
  <si>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</si>
  <si>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</si>
  <si>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</si>
  <si>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</si>
  <si>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</si>
  <si>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</si>
  <si>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</si>
  <si>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</si>
  <si>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</si>
  <si>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</si>
  <si>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</si>
  <si>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</si>
  <si>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</si>
  <si>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</si>
  <si>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</si>
  <si>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</si>
  <si>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</si>
  <si>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</si>
  <si>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</si>
  <si>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</si>
  <si>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</si>
  <si>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</si>
  <si>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</si>
  <si>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</si>
  <si>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</si>
  <si>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</si>
  <si>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</si>
  <si>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</si>
  <si>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</si>
  <si>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</si>
  <si>
    <t xml:space="preserve">BUSINESS PLAN KHEPRISANTE </t>
  </si>
  <si>
    <t xml:space="preserve">salaire Financier </t>
  </si>
  <si>
    <t>edf</t>
  </si>
  <si>
    <t>Ca propres</t>
  </si>
  <si>
    <t>salarié et charges</t>
  </si>
  <si>
    <t>CA propre evelyne</t>
  </si>
  <si>
    <t xml:space="preserve"> CA thera fixe</t>
  </si>
  <si>
    <t>MAD cabines /variable</t>
  </si>
  <si>
    <t>2015/2016</t>
  </si>
  <si>
    <t>2016/2017</t>
  </si>
  <si>
    <t>2017/2018</t>
  </si>
  <si>
    <t>2018/2019</t>
  </si>
  <si>
    <t>2019/2020</t>
  </si>
  <si>
    <t xml:space="preserve">MAD intervenant fixe </t>
  </si>
  <si>
    <t>community manager</t>
  </si>
  <si>
    <t xml:space="preserve">MAD intervenant varaible 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</si>
  <si>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</si>
  <si>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</si>
  <si>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</si>
  <si>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</si>
  <si>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</si>
  <si>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</si>
  <si>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</si>
  <si>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</si>
  <si>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</si>
  <si>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</si>
  <si>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</si>
  <si>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</si>
  <si>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</si>
  <si>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</si>
  <si>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</si>
  <si>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2016/2017 FIXE</t>
  </si>
  <si>
    <t>2015/2016 EVELYNE</t>
  </si>
  <si>
    <t>2016/2017 ADHESION</t>
  </si>
  <si>
    <t>2016/2017 VARIABLE</t>
  </si>
  <si>
    <t xml:space="preserve">2017/2018 FIXE </t>
  </si>
  <si>
    <t>2017/2018 EVELYNE</t>
  </si>
  <si>
    <t>2017/2018 ADHESION</t>
  </si>
  <si>
    <t>2017/2018 VARIABLE</t>
  </si>
  <si>
    <t xml:space="preserve">2018/2019 FIXE </t>
  </si>
  <si>
    <t>2018/2019 EVELYNE</t>
  </si>
  <si>
    <t>2018/2019 ADHESION</t>
  </si>
  <si>
    <t>2018/2019 VARIABLE</t>
  </si>
  <si>
    <t>2019/2020 FIXE</t>
  </si>
  <si>
    <t>2019/2020 EVELYNE</t>
  </si>
  <si>
    <t>2019/2020 ADHESION</t>
  </si>
  <si>
    <t>2019/2020 VARIABLE</t>
  </si>
  <si>
    <t xml:space="preserve">salles: Variables </t>
  </si>
  <si>
    <t>adhesion</t>
  </si>
  <si>
    <t>Adhesion Maximun</t>
  </si>
  <si>
    <t>Pourcentage réel annuel</t>
  </si>
  <si>
    <t xml:space="preserve">tx d'occupation </t>
  </si>
  <si>
    <t>et Fixes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</si>
  <si>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</si>
  <si>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</si>
  <si>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</si>
  <si>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</si>
  <si>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</si>
  <si>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</si>
  <si>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</si>
  <si>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</si>
  <si>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</si>
  <si>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</si>
  <si>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</si>
  <si>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</si>
  <si>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</si>
  <si>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</si>
  <si>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</si>
  <si>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</si>
  <si>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</si>
  <si>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</si>
  <si>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</si>
  <si>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</si>
  <si>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</si>
  <si>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</si>
  <si>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</si>
  <si>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</si>
  <si>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</si>
  <si>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</si>
  <si>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</si>
  <si>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</si>
  <si>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</si>
  <si>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</si>
  <si>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</si>
  <si>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</si>
  <si>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</si>
  <si>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</si>
  <si>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</si>
  <si>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</si>
  <si>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</si>
  <si>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</si>
  <si>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</si>
  <si>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</si>
  <si>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</si>
  <si>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</si>
  <si>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</si>
  <si>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</si>
  <si>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</si>
  <si>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</si>
  <si>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</si>
  <si>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</si>
  <si>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</si>
  <si>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</si>
  <si>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</si>
  <si>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</si>
  <si>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</si>
  <si>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</si>
  <si>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</si>
  <si>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</si>
  <si>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</si>
  <si>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</si>
  <si>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</si>
  <si>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</si>
  <si>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</si>
  <si>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</si>
  <si>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</si>
  <si>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</si>
  <si>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</si>
  <si>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</si>
  <si>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</si>
  <si>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</si>
  <si>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</si>
  <si>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</si>
  <si>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</si>
  <si>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</si>
  <si>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</si>
  <si>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</si>
  <si>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</si>
  <si>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</si>
  <si>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</si>
  <si>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</si>
  <si>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</si>
  <si>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>report dépenses départ centre 2</t>
  </si>
  <si>
    <t xml:space="preserve">Second centre </t>
  </si>
  <si>
    <t>Année fiscale : 1 Septembre-31 Aout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</si>
  <si>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</si>
  <si>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</si>
  <si>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</si>
  <si>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</si>
  <si>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</si>
  <si>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</si>
  <si>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</si>
  <si>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</si>
  <si>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</si>
  <si>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</si>
  <si>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</si>
  <si>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</si>
  <si>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</si>
  <si>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</si>
  <si>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</si>
  <si>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</si>
  <si>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</si>
  <si>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</si>
  <si>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</si>
  <si>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</si>
  <si>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</si>
  <si>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</si>
  <si>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</si>
  <si>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</si>
  <si>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1 Nogent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</si>
  <si>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</si>
  <si>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</si>
  <si>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</si>
  <si>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</si>
  <si>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</si>
  <si>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salarié et charges CDD</t>
  </si>
  <si>
    <t>Rému chargée Dirigeant</t>
  </si>
  <si>
    <t>Entretien des locaux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</si>
  <si>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</si>
  <si>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</si>
  <si>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</si>
  <si>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</si>
  <si>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</si>
  <si>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8h/jours</t>
  </si>
  <si>
    <t>Taux occupation</t>
  </si>
  <si>
    <t>Taux croissance</t>
  </si>
  <si>
    <t>mini 21%</t>
  </si>
  <si>
    <t>maxi 28%</t>
  </si>
  <si>
    <t>CA HT heures réservées</t>
  </si>
  <si>
    <t>PROGRESSION CA</t>
  </si>
  <si>
    <t>Décoration,Receptions,Poste,Internet, Telephone,Eau-Gaz,petits equipement,Fourn Admin</t>
  </si>
  <si>
    <t>Impôt et versements assimilés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</si>
</sst>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;[Red]\(#,##0\)"/>
    <numFmt numFmtId="165" formatCode="0.0"/>
    <numFmt numFmtId="166" formatCode="_-* #,##0.00\ [$€-40C]_-;\-* #,##0.00\ [$€-40C]_-;_-* &quot;-&quot;??\ [$€-40C]_-;_-@_-"/>
    <numFmt numFmtId="167" formatCode="0.0%"/>
    <numFmt numFmtId="168" formatCode="0.000%"/>
    <numFmt numFmtId="169" formatCode="0.0000%"/>
    <numFmt numFmtId="170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3" fillId="0" borderId="0" xfId="0" applyFont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3" fillId="0" borderId="2" xfId="0" applyFont="1" applyBorder="1"/>
    <xf numFmtId="3" fontId="4" fillId="0" borderId="0" xfId="0" applyNumberFormat="1" applyFon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3" fillId="0" borderId="0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0" fillId="7" borderId="11" xfId="0" applyFont="1" applyFill="1" applyBorder="1" applyAlignment="1">
      <alignment wrapText="1"/>
    </xf>
    <xf numFmtId="0" fontId="10" fillId="7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wrapText="1"/>
    </xf>
    <xf numFmtId="0" fontId="11" fillId="8" borderId="14" xfId="0" applyFont="1" applyFill="1" applyBorder="1" applyAlignment="1">
      <alignment horizontal="center" wrapText="1"/>
    </xf>
    <xf numFmtId="0" fontId="2" fillId="0" borderId="0" xfId="0" applyFont="1"/>
    <xf numFmtId="0" fontId="11" fillId="9" borderId="13" xfId="0" applyFont="1" applyFill="1" applyBorder="1" applyAlignment="1">
      <alignment wrapText="1"/>
    </xf>
    <xf numFmtId="0" fontId="11" fillId="9" borderId="14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3" fillId="0" borderId="1" xfId="0" applyFont="1" applyFill="1" applyBorder="1"/>
    <xf numFmtId="9" fontId="3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0" fontId="3" fillId="0" borderId="0" xfId="0" applyFont="1" applyFill="1" applyBorder="1"/>
    <xf numFmtId="165" fontId="3" fillId="0" borderId="0" xfId="0" applyNumberFormat="1" applyFon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9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166" fontId="0" fillId="0" borderId="1" xfId="1" applyNumberFormat="1" applyFont="1" applyBorder="1"/>
    <xf numFmtId="9" fontId="0" fillId="2" borderId="1" xfId="1" applyFont="1" applyFill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9" fontId="0" fillId="3" borderId="1" xfId="1" applyFont="1" applyFill="1" applyBorder="1"/>
    <xf numFmtId="9" fontId="0" fillId="3" borderId="1" xfId="0" applyNumberFormat="1" applyFill="1" applyBorder="1"/>
    <xf numFmtId="166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right"/>
    </xf>
    <xf numFmtId="2" fontId="0" fillId="0" borderId="1" xfId="0" applyNumberFormat="1" applyBorder="1"/>
    <xf numFmtId="165" fontId="0" fillId="3" borderId="1" xfId="0" applyNumberFormat="1" applyFill="1" applyBorder="1"/>
    <xf numFmtId="0" fontId="0" fillId="10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/>
    <xf numFmtId="0" fontId="3" fillId="13" borderId="1" xfId="0" applyFont="1" applyFill="1" applyBorder="1"/>
    <xf numFmtId="0" fontId="3" fillId="12" borderId="1" xfId="0" applyFont="1" applyFill="1" applyBorder="1"/>
    <xf numFmtId="0" fontId="3" fillId="11" borderId="1" xfId="0" applyFont="1" applyFill="1" applyBorder="1"/>
    <xf numFmtId="0" fontId="3" fillId="10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2" fontId="0" fillId="3" borderId="1" xfId="0" applyNumberFormat="1" applyFill="1" applyBorder="1"/>
    <xf numFmtId="3" fontId="0" fillId="0" borderId="17" xfId="0" applyNumberFormat="1" applyBorder="1"/>
    <xf numFmtId="9" fontId="0" fillId="5" borderId="1" xfId="1" applyFont="1" applyFill="1" applyBorder="1"/>
    <xf numFmtId="166" fontId="0" fillId="5" borderId="1" xfId="0" applyNumberFormat="1" applyFill="1" applyBorder="1"/>
    <xf numFmtId="167" fontId="0" fillId="3" borderId="1" xfId="1" applyNumberFormat="1" applyFont="1" applyFill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168" fontId="0" fillId="3" borderId="1" xfId="0" applyNumberFormat="1" applyFill="1" applyBorder="1"/>
    <xf numFmtId="0" fontId="3" fillId="2" borderId="2" xfId="0" applyFont="1" applyFill="1" applyBorder="1" applyAlignment="1"/>
    <xf numFmtId="44" fontId="0" fillId="0" borderId="1" xfId="2" applyFont="1" applyBorder="1"/>
    <xf numFmtId="169" fontId="0" fillId="0" borderId="1" xfId="1" applyNumberFormat="1" applyFont="1" applyBorder="1"/>
    <xf numFmtId="0" fontId="0" fillId="0" borderId="0" xfId="0" applyAlignment="1">
      <alignment horizontal="center"/>
    </xf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 applyBorder="1"/>
    <xf numFmtId="170" fontId="0" fillId="0" borderId="1" xfId="2" applyNumberFormat="1" applyFont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14" borderId="1" xfId="0" applyFont="1" applyFill="1" applyBorder="1"/>
    <xf numFmtId="2" fontId="0" fillId="0" borderId="0" xfId="0" applyNumberFormat="1" applyBorder="1"/>
    <xf numFmtId="0" fontId="0" fillId="16" borderId="1" xfId="0" applyFill="1" applyBorder="1"/>
    <xf numFmtId="0" fontId="0" fillId="0" borderId="25" xfId="0" applyBorder="1" applyAlignment="1">
      <alignment horizontal="center"/>
    </xf>
    <xf numFmtId="0" fontId="12" fillId="15" borderId="27" xfId="0" applyFont="1" applyFill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0" fontId="12" fillId="15" borderId="29" xfId="0" applyFont="1" applyFill="1" applyBorder="1" applyAlignment="1">
      <alignment horizontal="right" wrapText="1"/>
    </xf>
    <xf numFmtId="0" fontId="12" fillId="0" borderId="30" xfId="0" applyFont="1" applyBorder="1" applyAlignment="1">
      <alignment horizontal="right" wrapText="1"/>
    </xf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9" fontId="0" fillId="3" borderId="0" xfId="0" applyNumberFormat="1" applyFill="1" applyBorder="1"/>
    <xf numFmtId="0" fontId="0" fillId="0" borderId="0" xfId="0" applyBorder="1" applyAlignment="1">
      <alignment horizontal="center"/>
    </xf>
    <xf numFmtId="165" fontId="3" fillId="11" borderId="1" xfId="0" applyNumberFormat="1" applyFont="1" applyFill="1" applyBorder="1"/>
    <xf numFmtId="1" fontId="0" fillId="2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0" fontId="0" fillId="0" borderId="33" xfId="0" applyFill="1" applyBorder="1"/>
    <xf numFmtId="165" fontId="3" fillId="2" borderId="1" xfId="0" applyNumberFormat="1" applyFont="1" applyFill="1" applyBorder="1"/>
    <xf numFmtId="0" fontId="3" fillId="19" borderId="2" xfId="0" applyFont="1" applyFill="1" applyBorder="1" applyAlignment="1"/>
    <xf numFmtId="0" fontId="3" fillId="19" borderId="1" xfId="0" applyFont="1" applyFill="1" applyBorder="1" applyAlignment="1">
      <alignment horizontal="right"/>
    </xf>
    <xf numFmtId="165" fontId="0" fillId="19" borderId="1" xfId="0" applyNumberFormat="1" applyFill="1" applyBorder="1"/>
    <xf numFmtId="165" fontId="3" fillId="19" borderId="1" xfId="0" applyNumberFormat="1" applyFont="1" applyFill="1" applyBorder="1"/>
    <xf numFmtId="2" fontId="0" fillId="19" borderId="1" xfId="0" applyNumberFormat="1" applyFill="1" applyBorder="1"/>
    <xf numFmtId="9" fontId="3" fillId="19" borderId="1" xfId="1" applyFont="1" applyFill="1" applyBorder="1"/>
    <xf numFmtId="0" fontId="0" fillId="19" borderId="1" xfId="0" applyFill="1" applyBorder="1"/>
    <xf numFmtId="9" fontId="0" fillId="19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3" fillId="0" borderId="1" xfId="0" applyNumberFormat="1" applyFont="1" applyFill="1" applyBorder="1"/>
    <xf numFmtId="0" fontId="0" fillId="18" borderId="0" xfId="0" applyFill="1"/>
    <xf numFmtId="0" fontId="0" fillId="18" borderId="1" xfId="0" applyFill="1" applyBorder="1"/>
    <xf numFmtId="0" fontId="0" fillId="18" borderId="0" xfId="0" applyFill="1" applyAlignment="1">
      <alignment horizontal="right"/>
    </xf>
    <xf numFmtId="44" fontId="0" fillId="0" borderId="0" xfId="0" applyNumberFormat="1"/>
    <xf numFmtId="0" fontId="3" fillId="4" borderId="0" xfId="0" applyFont="1" applyFill="1"/>
    <xf numFmtId="0" fontId="0" fillId="4" borderId="0" xfId="0" applyFill="1"/>
    <xf numFmtId="9" fontId="0" fillId="4" borderId="0" xfId="0" applyNumberFormat="1" applyFill="1"/>
    <xf numFmtId="0" fontId="0" fillId="20" borderId="2" xfId="0" applyFill="1" applyBorder="1"/>
    <xf numFmtId="1" fontId="3" fillId="0" borderId="1" xfId="0" applyNumberFormat="1" applyFont="1" applyBorder="1"/>
    <xf numFmtId="9" fontId="0" fillId="18" borderId="0" xfId="0" applyNumberFormat="1" applyFill="1"/>
    <xf numFmtId="165" fontId="3" fillId="0" borderId="31" xfId="0" applyNumberFormat="1" applyFont="1" applyFill="1" applyBorder="1"/>
    <xf numFmtId="1" fontId="0" fillId="3" borderId="1" xfId="0" applyNumberFormat="1" applyFill="1" applyBorder="1" applyAlignment="1">
      <alignment horizontal="right" vertical="center"/>
    </xf>
    <xf numFmtId="1" fontId="0" fillId="3" borderId="1" xfId="3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6" xfId="0" applyFill="1" applyBorder="1"/>
    <xf numFmtId="0" fontId="0" fillId="11" borderId="17" xfId="0" applyFill="1" applyBorder="1"/>
    <xf numFmtId="0" fontId="0" fillId="17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0" fillId="10" borderId="2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/>
    <xf numFmtId="0" fontId="0" fillId="12" borderId="17" xfId="0" applyFill="1" applyBorder="1"/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26" xfId="0" applyFill="1" applyBorder="1"/>
    <xf numFmtId="0" fontId="0" fillId="13" borderId="17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6" xfId="0" applyFill="1" applyBorder="1"/>
    <xf numFmtId="0" fontId="0" fillId="14" borderId="17" xfId="0" applyFill="1" applyBorder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13" borderId="2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123825</xdr:rowOff>
    </xdr:from>
    <xdr:to>
      <xdr:col>7</xdr:col>
      <xdr:colOff>485775</xdr:colOff>
      <xdr:row>55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51</xdr:row>
      <xdr:rowOff>19050</xdr:rowOff>
    </xdr:from>
    <xdr:to>
      <xdr:col>7</xdr:col>
      <xdr:colOff>476250</xdr:colOff>
      <xdr:row>52</xdr:row>
      <xdr:rowOff>180976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V="1">
          <a:off x="1943100" y="9734550"/>
          <a:ext cx="472440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topLeftCell="I17" zoomScale="85" zoomScaleNormal="85" workbookViewId="0">
      <selection activeCell="T29" sqref="T29"/>
    </sheetView>
  </sheetViews>
  <sheetFormatPr baseColWidth="10" defaultColWidth="8.28515625" defaultRowHeight="15" x14ac:dyDescent="0.25"/>
  <cols>
    <col min="1" max="1" width="39.5703125" customWidth="1"/>
    <col min="2" max="2" width="8.28515625" customWidth="1"/>
    <col min="3" max="3" width="9.5703125" bestFit="1" customWidth="1"/>
    <col min="4" max="4" width="9.85546875" customWidth="1"/>
    <col min="5" max="5" width="1.7109375" customWidth="1"/>
    <col min="6" max="6" width="9.85546875" customWidth="1"/>
    <col min="7" max="7" width="10" customWidth="1"/>
    <col min="8" max="10" width="9.7109375" bestFit="1" customWidth="1"/>
    <col min="11" max="11" width="9.7109375" customWidth="1"/>
    <col min="12" max="12" width="11.85546875" customWidth="1"/>
    <col min="14" max="14" width="13.5703125" customWidth="1"/>
    <col min="15" max="15" width="19.7109375" customWidth="1"/>
    <col min="16" max="16" width="21.5703125" customWidth="1"/>
    <col min="17" max="17" width="19.7109375" customWidth="1"/>
    <col min="18" max="18" width="18.5703125" customWidth="1"/>
    <col min="19" max="19" width="18.5703125" style="133" customWidth="1"/>
    <col min="20" max="20" width="18.5703125" customWidth="1"/>
    <col min="21" max="21" width="20.140625" customWidth="1"/>
    <col min="22" max="22" width="18.85546875" customWidth="1"/>
    <col min="23" max="23" width="21.7109375" customWidth="1"/>
    <col min="24" max="25" width="18.85546875" customWidth="1"/>
    <col min="26" max="26" width="21" customWidth="1"/>
    <col min="27" max="27" width="14.5703125" customWidth="1"/>
    <col min="28" max="30" width="14.28515625" customWidth="1"/>
    <col min="31" max="31" width="18.42578125" customWidth="1"/>
    <col min="32" max="34" width="14.28515625" customWidth="1"/>
    <col min="35" max="35" width="10.42578125" customWidth="1"/>
    <col min="36" max="36" width="16.85546875" customWidth="1"/>
    <col min="37" max="37" width="17.85546875" customWidth="1"/>
    <col min="38" max="38" width="12.5703125" customWidth="1"/>
    <col min="39" max="40" width="10.85546875" customWidth="1"/>
    <col min="41" max="41" width="18.42578125" customWidth="1"/>
    <col min="42" max="42" width="16.5703125" customWidth="1"/>
    <col min="43" max="43" width="15.42578125" customWidth="1"/>
    <col min="44" max="45" width="10.85546875" customWidth="1"/>
    <col min="46" max="46" width="16" customWidth="1"/>
    <col min="47" max="48" width="15" customWidth="1"/>
    <col min="49" max="49" width="12.5703125" customWidth="1"/>
    <col min="50" max="50" width="10.85546875" customWidth="1"/>
    <col min="51" max="51" width="11.28515625" customWidth="1"/>
    <col min="52" max="52" width="18.7109375" customWidth="1"/>
    <col min="53" max="53" width="15.5703125" customWidth="1"/>
    <col min="54" max="54" width="13" customWidth="1"/>
    <col min="55" max="56" width="9.5703125" customWidth="1"/>
    <col min="57" max="57" width="18.28515625" customWidth="1"/>
    <col min="58" max="58" width="15.28515625" customWidth="1"/>
    <col min="59" max="59" width="12.7109375" customWidth="1"/>
    <col min="60" max="60" width="9.5703125" customWidth="1"/>
    <col min="61" max="61" width="9.7109375" customWidth="1"/>
    <col min="62" max="62" width="17.5703125" customWidth="1"/>
    <col min="63" max="63" width="14.28515625" bestFit="1" customWidth="1"/>
    <col min="64" max="64" width="12.85546875" customWidth="1"/>
    <col min="67" max="67" width="17.42578125" customWidth="1"/>
    <col min="68" max="68" width="9.28515625" bestFit="1" customWidth="1"/>
    <col min="69" max="69" width="13.28515625" customWidth="1"/>
    <col min="70" max="70" width="13.140625" customWidth="1"/>
    <col min="72" max="72" width="10.140625" customWidth="1"/>
  </cols>
  <sheetData>
    <row r="1" spans="1:70" ht="14.65" x14ac:dyDescent="0.4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01" t="s">
        <v>182</v>
      </c>
      <c r="B2" s="201"/>
      <c r="C2" s="201"/>
      <c r="D2" s="196" t="s">
        <v>316</v>
      </c>
      <c r="E2" s="196"/>
      <c r="F2" s="196"/>
      <c r="G2" s="196"/>
      <c r="H2" s="196"/>
      <c r="I2" s="196"/>
      <c r="J2" s="196"/>
      <c r="O2" s="88" t="s">
        <v>318</v>
      </c>
      <c r="P2" s="88" t="s">
        <v>318</v>
      </c>
      <c r="Q2" s="88" t="s">
        <v>319</v>
      </c>
      <c r="R2" s="88" t="s">
        <v>319</v>
      </c>
      <c r="AF2" s="142" t="s">
        <v>263</v>
      </c>
      <c r="AG2" s="210" t="s">
        <v>265</v>
      </c>
      <c r="AH2" s="210"/>
      <c r="AK2" s="142" t="s">
        <v>264</v>
      </c>
      <c r="AL2" s="210" t="s">
        <v>266</v>
      </c>
      <c r="AM2" s="210"/>
    </row>
    <row r="3" spans="1:7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135" t="s">
        <v>253</v>
      </c>
      <c r="U3" s="193" t="s">
        <v>246</v>
      </c>
      <c r="V3" s="193"/>
      <c r="W3" s="193" t="s">
        <v>247</v>
      </c>
      <c r="X3" s="193"/>
      <c r="Z3" s="88" t="s">
        <v>321</v>
      </c>
      <c r="AB3" s="88" t="s">
        <v>320</v>
      </c>
      <c r="AC3" s="135" t="s">
        <v>253</v>
      </c>
      <c r="AH3" s="143" t="s">
        <v>253</v>
      </c>
      <c r="AP3" s="142" t="s">
        <v>263</v>
      </c>
      <c r="AQ3" s="210" t="s">
        <v>265</v>
      </c>
      <c r="AR3" s="210"/>
      <c r="AU3" s="142" t="s">
        <v>263</v>
      </c>
      <c r="AV3" s="210" t="s">
        <v>266</v>
      </c>
      <c r="AW3" s="210"/>
      <c r="BA3" s="142" t="s">
        <v>263</v>
      </c>
      <c r="BB3" s="210" t="s">
        <v>265</v>
      </c>
      <c r="BC3" s="210"/>
      <c r="BF3" s="142" t="s">
        <v>263</v>
      </c>
      <c r="BG3" s="210" t="s">
        <v>308</v>
      </c>
      <c r="BH3" s="210"/>
      <c r="BK3" s="142" t="s">
        <v>263</v>
      </c>
      <c r="BL3" s="210" t="s">
        <v>265</v>
      </c>
      <c r="BM3" s="210"/>
      <c r="BP3" s="142" t="s">
        <v>263</v>
      </c>
      <c r="BQ3" s="210" t="s">
        <v>308</v>
      </c>
      <c r="BR3" s="210"/>
    </row>
    <row r="4" spans="1:70" x14ac:dyDescent="0.25">
      <c r="A4" s="197" t="s">
        <v>181</v>
      </c>
      <c r="B4" s="198"/>
      <c r="C4" s="88"/>
      <c r="D4" s="130" t="s">
        <v>190</v>
      </c>
      <c r="E4" s="170"/>
      <c r="F4" s="118" t="s">
        <v>191</v>
      </c>
      <c r="G4" s="117" t="s">
        <v>192</v>
      </c>
      <c r="H4" s="116" t="s">
        <v>193</v>
      </c>
      <c r="I4" s="115" t="s">
        <v>194</v>
      </c>
      <c r="J4" s="140" t="s">
        <v>254</v>
      </c>
      <c r="N4" s="193" t="s">
        <v>235</v>
      </c>
      <c r="O4" s="193"/>
      <c r="P4" s="202" t="s">
        <v>190</v>
      </c>
      <c r="Q4" s="203"/>
      <c r="R4" s="204"/>
      <c r="S4"/>
      <c r="U4" s="134" t="s">
        <v>242</v>
      </c>
      <c r="V4" s="96">
        <v>1</v>
      </c>
      <c r="W4" s="134" t="s">
        <v>242</v>
      </c>
      <c r="X4" s="96">
        <v>1</v>
      </c>
      <c r="Z4" s="211" t="s">
        <v>257</v>
      </c>
      <c r="AA4" s="212"/>
      <c r="AB4" s="213"/>
      <c r="AE4" s="207" t="s">
        <v>260</v>
      </c>
      <c r="AF4" s="208"/>
      <c r="AG4" s="209"/>
      <c r="AM4" s="135" t="s">
        <v>253</v>
      </c>
      <c r="AR4" s="143" t="s">
        <v>253</v>
      </c>
      <c r="AW4" s="143" t="s">
        <v>253</v>
      </c>
      <c r="BC4" s="135" t="s">
        <v>253</v>
      </c>
      <c r="BH4" s="143" t="s">
        <v>253</v>
      </c>
      <c r="BM4" s="135" t="s">
        <v>253</v>
      </c>
      <c r="BR4" s="143" t="s">
        <v>253</v>
      </c>
    </row>
    <row r="5" spans="1:70" x14ac:dyDescent="0.25">
      <c r="A5" s="199"/>
      <c r="B5" s="200"/>
      <c r="C5" s="11"/>
      <c r="D5" s="11"/>
      <c r="E5" s="171"/>
      <c r="F5" s="10"/>
      <c r="G5" s="10"/>
      <c r="H5" s="10"/>
      <c r="I5" s="10"/>
      <c r="J5" s="89"/>
      <c r="N5" s="99" t="s">
        <v>5</v>
      </c>
      <c r="O5" s="99" t="s">
        <v>244</v>
      </c>
      <c r="P5" s="99" t="s">
        <v>212</v>
      </c>
      <c r="Q5" s="99" t="s">
        <v>211</v>
      </c>
      <c r="R5" s="99" t="s">
        <v>200</v>
      </c>
      <c r="S5"/>
      <c r="U5" s="88" t="s">
        <v>241</v>
      </c>
      <c r="V5" s="131">
        <v>23</v>
      </c>
      <c r="W5" s="88" t="s">
        <v>249</v>
      </c>
      <c r="X5" s="131">
        <f>+X7/O7</f>
        <v>4</v>
      </c>
      <c r="Z5" s="105" t="s">
        <v>199</v>
      </c>
      <c r="AA5" s="105" t="s">
        <v>211</v>
      </c>
      <c r="AB5" s="105" t="s">
        <v>200</v>
      </c>
      <c r="AE5" s="109" t="s">
        <v>199</v>
      </c>
      <c r="AF5" s="109" t="s">
        <v>211</v>
      </c>
      <c r="AG5" s="109" t="s">
        <v>200</v>
      </c>
      <c r="AJ5" s="207" t="s">
        <v>260</v>
      </c>
      <c r="AK5" s="208"/>
      <c r="AL5" s="209"/>
      <c r="AO5" s="219" t="s">
        <v>267</v>
      </c>
      <c r="AP5" s="220"/>
      <c r="AQ5" s="221"/>
      <c r="AT5" s="219" t="s">
        <v>267</v>
      </c>
      <c r="AU5" s="220"/>
      <c r="AV5" s="221"/>
      <c r="AZ5" s="224" t="s">
        <v>305</v>
      </c>
      <c r="BA5" s="225"/>
      <c r="BB5" s="226"/>
      <c r="BE5" s="224" t="s">
        <v>305</v>
      </c>
      <c r="BF5" s="225"/>
      <c r="BG5" s="226"/>
      <c r="BJ5" s="229" t="s">
        <v>309</v>
      </c>
      <c r="BK5" s="230"/>
      <c r="BL5" s="231"/>
      <c r="BO5" s="229" t="s">
        <v>309</v>
      </c>
      <c r="BP5" s="230"/>
      <c r="BQ5" s="231"/>
    </row>
    <row r="6" spans="1:70" x14ac:dyDescent="0.25">
      <c r="A6" s="187" t="s">
        <v>341</v>
      </c>
      <c r="B6" s="3">
        <v>0.75</v>
      </c>
      <c r="C6" s="107"/>
      <c r="D6" s="107">
        <f>+R27</f>
        <v>8.1999999999999993</v>
      </c>
      <c r="E6" s="172"/>
      <c r="F6" s="107">
        <v>35.402999999999999</v>
      </c>
      <c r="G6" s="107">
        <f>F6*(1+$B$6)</f>
        <v>61.955249999999999</v>
      </c>
      <c r="H6" s="107">
        <f t="shared" ref="H6:J6" si="0">G6*(1+$B$6)</f>
        <v>108.4216875</v>
      </c>
      <c r="I6" s="107">
        <f t="shared" si="0"/>
        <v>189.73795312500002</v>
      </c>
      <c r="J6" s="107">
        <f t="shared" si="0"/>
        <v>332.04141796875001</v>
      </c>
      <c r="M6" s="88" t="s">
        <v>250</v>
      </c>
      <c r="N6" s="95">
        <v>2</v>
      </c>
      <c r="O6" s="95">
        <f>240</f>
        <v>240</v>
      </c>
      <c r="P6" s="2">
        <f>+$O$6*12</f>
        <v>2880</v>
      </c>
      <c r="Q6" s="127">
        <v>1</v>
      </c>
      <c r="R6" s="137">
        <f>Q6*P6</f>
        <v>2880</v>
      </c>
      <c r="S6" s="135">
        <v>2.8</v>
      </c>
      <c r="U6" s="88" t="s">
        <v>243</v>
      </c>
      <c r="V6" s="131">
        <f>+(V5*P6)*V4</f>
        <v>66240</v>
      </c>
      <c r="W6" s="88" t="s">
        <v>243</v>
      </c>
      <c r="X6" s="131">
        <f>800*12</f>
        <v>9600</v>
      </c>
      <c r="Z6" s="88">
        <f>+P11</f>
        <v>1344</v>
      </c>
      <c r="AA6" s="127">
        <f>+AB6/X10</f>
        <v>0.83333333333333337</v>
      </c>
      <c r="AB6" s="131">
        <f>(1059*12)/1.2</f>
        <v>10590</v>
      </c>
      <c r="AC6" s="135">
        <v>10.59</v>
      </c>
      <c r="AE6" s="88">
        <f>+Z6</f>
        <v>1344</v>
      </c>
      <c r="AF6" s="101">
        <f>+$AG6/AB6</f>
        <v>1.2</v>
      </c>
      <c r="AG6" s="131">
        <f>1059*12</f>
        <v>12708</v>
      </c>
      <c r="AH6" s="135">
        <v>12.7</v>
      </c>
      <c r="AJ6" s="109" t="s">
        <v>199</v>
      </c>
      <c r="AK6" s="109" t="s">
        <v>211</v>
      </c>
      <c r="AL6" s="109" t="s">
        <v>200</v>
      </c>
      <c r="AO6" s="111" t="s">
        <v>199</v>
      </c>
      <c r="AP6" s="111" t="s">
        <v>211</v>
      </c>
      <c r="AQ6" s="111" t="s">
        <v>200</v>
      </c>
      <c r="AT6" s="111" t="s">
        <v>199</v>
      </c>
      <c r="AU6" s="111" t="s">
        <v>211</v>
      </c>
      <c r="AV6" s="111" t="s">
        <v>200</v>
      </c>
      <c r="AZ6" s="113" t="s">
        <v>199</v>
      </c>
      <c r="BA6" s="113" t="s">
        <v>211</v>
      </c>
      <c r="BB6" s="113" t="s">
        <v>200</v>
      </c>
      <c r="BE6" s="113" t="s">
        <v>199</v>
      </c>
      <c r="BF6" s="113" t="s">
        <v>211</v>
      </c>
      <c r="BG6" s="113" t="s">
        <v>200</v>
      </c>
      <c r="BJ6" s="148" t="s">
        <v>199</v>
      </c>
      <c r="BK6" s="148" t="s">
        <v>211</v>
      </c>
      <c r="BL6" s="148" t="s">
        <v>200</v>
      </c>
      <c r="BO6" s="148" t="s">
        <v>199</v>
      </c>
      <c r="BP6" s="148" t="s">
        <v>211</v>
      </c>
      <c r="BQ6" s="148" t="s">
        <v>200</v>
      </c>
    </row>
    <row r="7" spans="1:70" ht="14.65" x14ac:dyDescent="0.4">
      <c r="A7" s="9" t="s">
        <v>342</v>
      </c>
      <c r="B7" s="93"/>
      <c r="C7" s="107"/>
      <c r="D7" s="107"/>
      <c r="E7" s="172"/>
      <c r="F7" s="107"/>
      <c r="G7" s="107">
        <f t="shared" ref="G7:J11" si="1">F7*(1+$B$6)</f>
        <v>0</v>
      </c>
      <c r="H7" s="107">
        <f t="shared" si="1"/>
        <v>0</v>
      </c>
      <c r="I7" s="107">
        <f t="shared" si="1"/>
        <v>0</v>
      </c>
      <c r="J7" s="107">
        <f t="shared" si="1"/>
        <v>0</v>
      </c>
      <c r="M7" s="88" t="s">
        <v>251</v>
      </c>
      <c r="N7" s="88">
        <v>2</v>
      </c>
      <c r="O7" s="88">
        <v>200</v>
      </c>
      <c r="P7" s="88">
        <f>+O7*12</f>
        <v>2400</v>
      </c>
      <c r="Q7" s="96">
        <v>0</v>
      </c>
      <c r="R7" s="131">
        <f>+Q7*P7</f>
        <v>0</v>
      </c>
      <c r="S7" s="135">
        <v>0</v>
      </c>
      <c r="U7" s="90" t="s">
        <v>248</v>
      </c>
      <c r="V7" s="88"/>
      <c r="W7" s="90" t="s">
        <v>248</v>
      </c>
      <c r="X7" s="131">
        <v>800</v>
      </c>
      <c r="AJ7" s="88">
        <f>+Z6</f>
        <v>1344</v>
      </c>
      <c r="AK7" s="96">
        <f t="shared" ref="AK7:AL7" si="2">+AA6</f>
        <v>0.83333333333333337</v>
      </c>
      <c r="AL7" s="88">
        <f t="shared" si="2"/>
        <v>10590</v>
      </c>
      <c r="AM7" s="135">
        <v>12.7</v>
      </c>
      <c r="AO7" s="88">
        <f>+AJ7</f>
        <v>1344</v>
      </c>
      <c r="AP7" s="101">
        <f>+AQ7/AL7</f>
        <v>1.2</v>
      </c>
      <c r="AQ7" s="131">
        <f>1059*12</f>
        <v>12708</v>
      </c>
      <c r="AR7" s="135">
        <v>12.7</v>
      </c>
      <c r="AT7" s="88">
        <f>+AO7</f>
        <v>1344</v>
      </c>
      <c r="AU7" s="101">
        <f>+AV7/AQ7</f>
        <v>1</v>
      </c>
      <c r="AV7" s="131">
        <f>1059*12</f>
        <v>12708</v>
      </c>
      <c r="AW7" s="135">
        <v>12.7</v>
      </c>
      <c r="AZ7" s="88">
        <f>+AT7</f>
        <v>1344</v>
      </c>
      <c r="BA7" s="101">
        <f>+AU7</f>
        <v>1</v>
      </c>
      <c r="BB7" s="131">
        <f>1059*12</f>
        <v>12708</v>
      </c>
      <c r="BC7" s="135">
        <v>12.7</v>
      </c>
      <c r="BE7" s="88">
        <f>+AZ7</f>
        <v>1344</v>
      </c>
      <c r="BF7" s="101">
        <f>+BG7/BB7</f>
        <v>1</v>
      </c>
      <c r="BG7" s="131">
        <f>1059*12</f>
        <v>12708</v>
      </c>
      <c r="BH7" s="135">
        <v>12.7</v>
      </c>
      <c r="BJ7" s="88">
        <f>+BE7</f>
        <v>1344</v>
      </c>
      <c r="BK7" s="101">
        <f>+BL7/BG7</f>
        <v>1</v>
      </c>
      <c r="BL7" s="131">
        <f>1059*12</f>
        <v>12708</v>
      </c>
      <c r="BM7" s="135">
        <v>12.7</v>
      </c>
      <c r="BO7" s="88">
        <f>+BJ7</f>
        <v>1344</v>
      </c>
      <c r="BP7" s="101">
        <f>+BQ7/BL7</f>
        <v>1</v>
      </c>
      <c r="BQ7" s="131">
        <f>1059*12</f>
        <v>12708</v>
      </c>
      <c r="BR7" s="135">
        <v>12.7</v>
      </c>
    </row>
    <row r="8" spans="1:70" ht="14.65" x14ac:dyDescent="0.4">
      <c r="A8" s="187" t="s">
        <v>343</v>
      </c>
      <c r="B8" s="3">
        <v>0.5</v>
      </c>
      <c r="C8" s="107"/>
      <c r="D8" s="107">
        <f>+R14</f>
        <v>0</v>
      </c>
      <c r="E8" s="172"/>
      <c r="F8" s="107">
        <v>20.09</v>
      </c>
      <c r="G8" s="107">
        <f>F8*(1+$B$8)</f>
        <v>30.134999999999998</v>
      </c>
      <c r="H8" s="107">
        <f t="shared" ref="H8" si="3">G8*(1+$B$8)</f>
        <v>45.202500000000001</v>
      </c>
      <c r="I8" s="107">
        <f>H8*(0.8+$B$8)</f>
        <v>58.763249999999999</v>
      </c>
      <c r="J8" s="107">
        <f>I8*(0.5+$B$8)</f>
        <v>58.763249999999999</v>
      </c>
      <c r="N8" s="193" t="s">
        <v>245</v>
      </c>
      <c r="O8" s="193"/>
      <c r="P8" s="202" t="s">
        <v>190</v>
      </c>
      <c r="Q8" s="203"/>
      <c r="R8" s="204"/>
      <c r="S8"/>
      <c r="U8" s="134" t="s">
        <v>242</v>
      </c>
      <c r="V8" s="96">
        <v>1</v>
      </c>
      <c r="W8" s="134" t="s">
        <v>242</v>
      </c>
      <c r="X8" s="96">
        <v>1</v>
      </c>
      <c r="Z8" s="211" t="s">
        <v>258</v>
      </c>
      <c r="AA8" s="212"/>
      <c r="AB8" s="213"/>
      <c r="AE8" s="207" t="s">
        <v>261</v>
      </c>
      <c r="AF8" s="208"/>
      <c r="AG8" s="209"/>
    </row>
    <row r="9" spans="1:70" x14ac:dyDescent="0.25">
      <c r="A9" s="9" t="s">
        <v>344</v>
      </c>
      <c r="B9" s="93"/>
      <c r="C9" s="107"/>
      <c r="D9" s="107"/>
      <c r="E9" s="172"/>
      <c r="F9" s="107"/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N9" s="99" t="s">
        <v>5</v>
      </c>
      <c r="O9" s="99" t="s">
        <v>244</v>
      </c>
      <c r="P9" s="99" t="s">
        <v>212</v>
      </c>
      <c r="Q9" s="99" t="s">
        <v>211</v>
      </c>
      <c r="R9" s="99" t="s">
        <v>252</v>
      </c>
      <c r="S9"/>
      <c r="U9" s="88" t="s">
        <v>241</v>
      </c>
      <c r="V9" s="131">
        <v>23</v>
      </c>
      <c r="W9" s="88" t="s">
        <v>241</v>
      </c>
      <c r="X9" s="131">
        <f>+X11/O11</f>
        <v>9.4553571428571423</v>
      </c>
      <c r="Z9" s="105" t="s">
        <v>199</v>
      </c>
      <c r="AA9" s="105" t="s">
        <v>211</v>
      </c>
      <c r="AB9" s="105" t="s">
        <v>200</v>
      </c>
      <c r="AE9" s="109" t="s">
        <v>199</v>
      </c>
      <c r="AF9" s="109" t="s">
        <v>211</v>
      </c>
      <c r="AG9" s="109" t="s">
        <v>200</v>
      </c>
      <c r="AJ9" s="207" t="s">
        <v>261</v>
      </c>
      <c r="AK9" s="208"/>
      <c r="AL9" s="209"/>
      <c r="AO9" s="219" t="s">
        <v>268</v>
      </c>
      <c r="AP9" s="220"/>
      <c r="AQ9" s="221"/>
      <c r="AT9" s="219" t="s">
        <v>268</v>
      </c>
      <c r="AU9" s="220"/>
      <c r="AV9" s="221"/>
      <c r="AZ9" s="224" t="s">
        <v>306</v>
      </c>
      <c r="BA9" s="225"/>
      <c r="BB9" s="226"/>
      <c r="BE9" s="224" t="s">
        <v>306</v>
      </c>
      <c r="BF9" s="225"/>
      <c r="BG9" s="226"/>
      <c r="BJ9" s="229" t="s">
        <v>310</v>
      </c>
      <c r="BK9" s="230"/>
      <c r="BL9" s="231"/>
      <c r="BO9" s="229" t="s">
        <v>310</v>
      </c>
      <c r="BP9" s="230"/>
      <c r="BQ9" s="231"/>
    </row>
    <row r="10" spans="1:70" x14ac:dyDescent="0.25">
      <c r="A10" s="187" t="s">
        <v>345</v>
      </c>
      <c r="B10" s="3">
        <v>0.02</v>
      </c>
      <c r="C10" s="107"/>
      <c r="D10" s="107">
        <f>+S7+S11</f>
        <v>5.2</v>
      </c>
      <c r="E10" s="172"/>
      <c r="F10" s="107">
        <v>15.917999999999999</v>
      </c>
      <c r="G10" s="107">
        <v>36</v>
      </c>
      <c r="H10" s="107">
        <f t="shared" ref="H10:J10" si="4">G10*(1+$B$10)</f>
        <v>36.72</v>
      </c>
      <c r="I10" s="107">
        <f t="shared" si="4"/>
        <v>37.4544</v>
      </c>
      <c r="J10" s="107">
        <f t="shared" si="4"/>
        <v>38.203488</v>
      </c>
      <c r="M10" s="88" t="s">
        <v>250</v>
      </c>
      <c r="N10" s="95">
        <v>1</v>
      </c>
      <c r="O10" s="95">
        <v>152</v>
      </c>
      <c r="P10" s="88">
        <f>+$O$6*12</f>
        <v>2880</v>
      </c>
      <c r="Q10" s="127">
        <v>1</v>
      </c>
      <c r="R10" s="131">
        <f>Q10*P10</f>
        <v>2880</v>
      </c>
      <c r="S10"/>
      <c r="U10" s="88" t="s">
        <v>243</v>
      </c>
      <c r="V10" s="131">
        <f>+(V9*P10)*V8</f>
        <v>66240</v>
      </c>
      <c r="W10" s="88" t="s">
        <v>243</v>
      </c>
      <c r="X10" s="131">
        <f>1059*12</f>
        <v>12708</v>
      </c>
      <c r="Z10" s="88">
        <f>+P7</f>
        <v>2400</v>
      </c>
      <c r="AA10" s="127">
        <f>+AB10/X6</f>
        <v>0.83333333333333337</v>
      </c>
      <c r="AB10" s="131">
        <f>(800*12)/1.2</f>
        <v>8000</v>
      </c>
      <c r="AC10" s="135">
        <v>8</v>
      </c>
      <c r="AE10" s="88">
        <f>+Z10</f>
        <v>2400</v>
      </c>
      <c r="AF10" s="127">
        <f>+AG10/AB10</f>
        <v>1.2</v>
      </c>
      <c r="AG10" s="131">
        <f>800*12</f>
        <v>9600</v>
      </c>
      <c r="AH10" s="135">
        <v>9.6</v>
      </c>
      <c r="AJ10" s="109" t="s">
        <v>199</v>
      </c>
      <c r="AK10" s="109" t="s">
        <v>211</v>
      </c>
      <c r="AL10" s="109" t="s">
        <v>200</v>
      </c>
      <c r="AO10" s="111" t="s">
        <v>199</v>
      </c>
      <c r="AP10" s="111" t="s">
        <v>211</v>
      </c>
      <c r="AQ10" s="111" t="s">
        <v>200</v>
      </c>
      <c r="AT10" s="111" t="s">
        <v>199</v>
      </c>
      <c r="AU10" s="111" t="s">
        <v>211</v>
      </c>
      <c r="AV10" s="111" t="s">
        <v>200</v>
      </c>
      <c r="AZ10" s="113" t="s">
        <v>199</v>
      </c>
      <c r="BA10" s="113" t="s">
        <v>211</v>
      </c>
      <c r="BB10" s="113" t="s">
        <v>200</v>
      </c>
      <c r="BE10" s="113" t="s">
        <v>199</v>
      </c>
      <c r="BF10" s="113" t="s">
        <v>211</v>
      </c>
      <c r="BG10" s="113" t="s">
        <v>200</v>
      </c>
      <c r="BJ10" s="148" t="s">
        <v>199</v>
      </c>
      <c r="BK10" s="148" t="s">
        <v>211</v>
      </c>
      <c r="BL10" s="148" t="s">
        <v>200</v>
      </c>
      <c r="BO10" s="148" t="s">
        <v>199</v>
      </c>
      <c r="BP10" s="148" t="s">
        <v>211</v>
      </c>
      <c r="BQ10" s="148" t="s">
        <v>200</v>
      </c>
    </row>
    <row r="11" spans="1:70" ht="14.65" x14ac:dyDescent="0.4">
      <c r="A11" s="9" t="s">
        <v>346</v>
      </c>
      <c r="B11" s="93"/>
      <c r="C11" s="107"/>
      <c r="D11" s="107"/>
      <c r="E11" s="172"/>
      <c r="F11" s="107"/>
      <c r="G11" s="107">
        <f t="shared" si="1"/>
        <v>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M11" s="88" t="s">
        <v>251</v>
      </c>
      <c r="N11" s="88">
        <v>1</v>
      </c>
      <c r="O11" s="88">
        <v>112</v>
      </c>
      <c r="P11" s="88">
        <f>+O11*12</f>
        <v>1344</v>
      </c>
      <c r="Q11" s="96">
        <v>1</v>
      </c>
      <c r="R11" s="137">
        <f>+(X9*P11)/Q11</f>
        <v>12708</v>
      </c>
      <c r="S11" s="135">
        <v>5.2</v>
      </c>
      <c r="U11" s="90" t="s">
        <v>248</v>
      </c>
      <c r="V11" s="88"/>
      <c r="W11" s="90" t="s">
        <v>248</v>
      </c>
      <c r="X11" s="131">
        <v>1059</v>
      </c>
      <c r="Z11" s="88" t="s">
        <v>323</v>
      </c>
      <c r="AC11" s="139">
        <f>+AC6+AC10</f>
        <v>18.59</v>
      </c>
      <c r="AJ11" s="88">
        <f>+Z10</f>
        <v>2400</v>
      </c>
      <c r="AK11" s="96">
        <f t="shared" ref="AK11:AL11" si="5">+AA10</f>
        <v>0.83333333333333337</v>
      </c>
      <c r="AL11" s="88">
        <f t="shared" si="5"/>
        <v>8000</v>
      </c>
      <c r="AM11" s="135">
        <v>9.6</v>
      </c>
      <c r="AO11" s="88">
        <f>+AJ11</f>
        <v>2400</v>
      </c>
      <c r="AP11" s="127">
        <f>+AQ11/AL11</f>
        <v>1.2</v>
      </c>
      <c r="AQ11" s="131">
        <f>800*12</f>
        <v>9600</v>
      </c>
      <c r="AR11" s="135">
        <v>9.6</v>
      </c>
      <c r="AT11" s="88">
        <f>+AO11</f>
        <v>2400</v>
      </c>
      <c r="AU11" s="127">
        <f>+AV11/AQ11</f>
        <v>1</v>
      </c>
      <c r="AV11" s="131">
        <f>800*12</f>
        <v>9600</v>
      </c>
      <c r="AW11" s="135">
        <v>9.6</v>
      </c>
      <c r="AZ11" s="88">
        <f>+AT11</f>
        <v>2400</v>
      </c>
      <c r="BA11" s="127">
        <f>+AU11</f>
        <v>1</v>
      </c>
      <c r="BB11" s="131">
        <f>800*12</f>
        <v>9600</v>
      </c>
      <c r="BC11" s="135">
        <v>9.6</v>
      </c>
      <c r="BE11" s="88">
        <f>+AZ11</f>
        <v>2400</v>
      </c>
      <c r="BF11" s="127">
        <f>+BG11/BB11</f>
        <v>1</v>
      </c>
      <c r="BG11" s="131">
        <f>800*12</f>
        <v>9600</v>
      </c>
      <c r="BH11" s="135">
        <v>9.6</v>
      </c>
      <c r="BJ11" s="88">
        <f>+BE11</f>
        <v>2400</v>
      </c>
      <c r="BK11" s="127">
        <f>+BL11/BG11</f>
        <v>1</v>
      </c>
      <c r="BL11" s="131">
        <f>800*12</f>
        <v>9600</v>
      </c>
      <c r="BM11" s="135">
        <v>9.6</v>
      </c>
      <c r="BO11" s="88">
        <f>+BJ11</f>
        <v>2400</v>
      </c>
      <c r="BP11" s="127">
        <f>+BQ11/BL11</f>
        <v>1</v>
      </c>
      <c r="BQ11" s="131">
        <f>800*12</f>
        <v>9600</v>
      </c>
      <c r="BR11" s="135">
        <v>9.6</v>
      </c>
    </row>
    <row r="12" spans="1:70" x14ac:dyDescent="0.25">
      <c r="A12" s="187" t="s">
        <v>352</v>
      </c>
      <c r="B12" s="96">
        <v>0.5</v>
      </c>
      <c r="C12" s="107"/>
      <c r="D12" s="107">
        <f>+U48</f>
        <v>7.5</v>
      </c>
      <c r="E12" s="172"/>
      <c r="F12" s="167">
        <v>11.554</v>
      </c>
      <c r="G12" s="107">
        <f>F12*(1+$B$12)</f>
        <v>17.331</v>
      </c>
      <c r="H12" s="107">
        <f t="shared" ref="H12:I12" si="6">G12*(1+$B$12)</f>
        <v>25.996499999999997</v>
      </c>
      <c r="I12" s="107">
        <f t="shared" si="6"/>
        <v>38.994749999999996</v>
      </c>
      <c r="J12" s="107">
        <f>I12*(0.5+$B$12)</f>
        <v>38.994749999999996</v>
      </c>
      <c r="N12" s="193" t="s">
        <v>203</v>
      </c>
      <c r="O12" s="193"/>
      <c r="P12" s="193"/>
      <c r="Q12" s="193" t="s">
        <v>190</v>
      </c>
      <c r="R12" s="193"/>
      <c r="S12"/>
    </row>
    <row r="13" spans="1:70" x14ac:dyDescent="0.25">
      <c r="A13" s="180" t="s">
        <v>361</v>
      </c>
      <c r="B13" s="180"/>
      <c r="C13" s="180"/>
      <c r="D13" s="180"/>
      <c r="E13" s="180"/>
      <c r="F13" s="189">
        <v>0.28000000000000003</v>
      </c>
      <c r="G13" s="189">
        <v>0.4</v>
      </c>
      <c r="H13" s="189">
        <v>0.6</v>
      </c>
      <c r="I13" s="189">
        <v>0.7</v>
      </c>
      <c r="J13" s="189">
        <v>0.8</v>
      </c>
      <c r="N13" s="202" t="s">
        <v>201</v>
      </c>
      <c r="O13" s="204"/>
      <c r="P13" s="99" t="s">
        <v>202</v>
      </c>
      <c r="Q13" s="99" t="s">
        <v>211</v>
      </c>
      <c r="R13" s="99" t="s">
        <v>207</v>
      </c>
      <c r="S13"/>
      <c r="Z13" s="211" t="s">
        <v>214</v>
      </c>
      <c r="AA13" s="214"/>
      <c r="AB13" s="215"/>
      <c r="AE13" s="207" t="s">
        <v>218</v>
      </c>
      <c r="AF13" s="216"/>
      <c r="AG13" s="217"/>
    </row>
    <row r="14" spans="1:70" x14ac:dyDescent="0.25">
      <c r="A14" s="119" t="s">
        <v>0</v>
      </c>
      <c r="B14" s="120"/>
      <c r="C14" s="107"/>
      <c r="D14" s="121">
        <f>D6+D8+D10+D12</f>
        <v>20.9</v>
      </c>
      <c r="E14" s="173"/>
      <c r="F14" s="169">
        <f>F6+F8+F10+F12</f>
        <v>82.965000000000003</v>
      </c>
      <c r="G14" s="169">
        <f>+G6+G8+G10+G12</f>
        <v>145.42124999999999</v>
      </c>
      <c r="H14" s="169">
        <f>+H6+H7+H8+H9+H10+H11+H12</f>
        <v>216.3406875</v>
      </c>
      <c r="I14" s="121">
        <f>+I6+I7+I8+I9+I10+I11+I12</f>
        <v>324.95035312500005</v>
      </c>
      <c r="J14" s="121">
        <f>+J6+J7+J8+J9+J10+J11+J12</f>
        <v>468.00290596874999</v>
      </c>
      <c r="N14" s="205">
        <v>170</v>
      </c>
      <c r="O14" s="206"/>
      <c r="P14" s="103">
        <f>+($N$14*41.58)*12</f>
        <v>84823.2</v>
      </c>
      <c r="Q14" s="102">
        <v>0</v>
      </c>
      <c r="R14" s="94">
        <f>+Q14*P14</f>
        <v>0</v>
      </c>
      <c r="S14" s="135"/>
      <c r="Z14" s="105" t="s">
        <v>209</v>
      </c>
      <c r="AA14" s="105" t="s">
        <v>210</v>
      </c>
      <c r="AB14" s="108" t="s">
        <v>200</v>
      </c>
      <c r="AE14" s="109" t="s">
        <v>209</v>
      </c>
      <c r="AF14" s="109" t="s">
        <v>210</v>
      </c>
      <c r="AG14" s="110" t="s">
        <v>200</v>
      </c>
      <c r="AO14" s="219" t="s">
        <v>222</v>
      </c>
      <c r="AP14" s="222"/>
      <c r="AQ14" s="223"/>
      <c r="AZ14" s="227" t="s">
        <v>226</v>
      </c>
      <c r="BA14" s="227"/>
      <c r="BB14" s="227"/>
      <c r="BJ14" s="228" t="s">
        <v>311</v>
      </c>
      <c r="BK14" s="228"/>
      <c r="BL14" s="228"/>
    </row>
    <row r="15" spans="1:70" ht="14.65" x14ac:dyDescent="0.4">
      <c r="A15" s="90" t="s">
        <v>327</v>
      </c>
      <c r="B15" s="3">
        <v>0.02</v>
      </c>
      <c r="C15" s="107"/>
      <c r="D15" s="107">
        <v>52.9</v>
      </c>
      <c r="E15" s="172"/>
      <c r="F15" s="107">
        <v>43.332000000000001</v>
      </c>
      <c r="G15" s="107">
        <f>F15*(1+$B$15)</f>
        <v>44.198640000000005</v>
      </c>
      <c r="H15" s="107">
        <f t="shared" ref="H15:J15" si="7">G15*(1+$B$15)</f>
        <v>45.082612800000007</v>
      </c>
      <c r="I15" s="107">
        <f t="shared" si="7"/>
        <v>45.984265056000005</v>
      </c>
      <c r="J15" s="107">
        <f t="shared" si="7"/>
        <v>46.903950357120003</v>
      </c>
      <c r="L15">
        <v>43.3</v>
      </c>
      <c r="N15" s="160"/>
      <c r="O15" s="160"/>
      <c r="P15" s="161"/>
      <c r="Q15" s="162"/>
      <c r="R15" s="136"/>
      <c r="S15" s="163"/>
      <c r="Z15" s="105"/>
      <c r="AA15" s="105"/>
      <c r="AB15" s="108"/>
      <c r="AE15" s="109"/>
      <c r="AF15" s="109"/>
      <c r="AG15" s="110"/>
      <c r="AO15" s="152"/>
      <c r="AP15" s="153"/>
      <c r="AQ15" s="154"/>
      <c r="AZ15" s="151"/>
      <c r="BA15" s="151"/>
      <c r="BB15" s="151"/>
      <c r="BJ15" s="150"/>
      <c r="BK15" s="150"/>
      <c r="BL15" s="150"/>
    </row>
    <row r="16" spans="1:70" x14ac:dyDescent="0.25">
      <c r="A16" s="90" t="s">
        <v>329</v>
      </c>
      <c r="B16" s="3">
        <v>0.02</v>
      </c>
      <c r="C16" s="107"/>
      <c r="D16" s="107">
        <v>11.14</v>
      </c>
      <c r="E16" s="172"/>
      <c r="F16" s="107">
        <f>D16*(1+$B$16)</f>
        <v>11.3628</v>
      </c>
      <c r="G16" s="107">
        <f>F16*(1+$B$16)</f>
        <v>11.590056000000001</v>
      </c>
      <c r="H16" s="107">
        <f>G16*(1+$B$16)</f>
        <v>11.821857120000001</v>
      </c>
      <c r="I16" s="107">
        <f>H16*(1+$B$16)</f>
        <v>12.0582942624</v>
      </c>
      <c r="J16" s="107">
        <f>I16*(1+$B$16)</f>
        <v>12.299460147648</v>
      </c>
      <c r="L16">
        <v>11.4</v>
      </c>
      <c r="Z16" s="97">
        <f>+$P$48*$Q$48</f>
        <v>34650</v>
      </c>
      <c r="AA16" s="128">
        <f>+AB16/Z16</f>
        <v>0.30014430014430016</v>
      </c>
      <c r="AB16" s="131">
        <v>10400</v>
      </c>
      <c r="AC16" s="135">
        <v>10.4</v>
      </c>
      <c r="AE16" s="97">
        <f>+$P$48*$Q$48</f>
        <v>34650</v>
      </c>
      <c r="AF16" s="128">
        <f>+AG16/AE16</f>
        <v>1.184935064935065</v>
      </c>
      <c r="AG16" s="131">
        <v>41058</v>
      </c>
      <c r="AH16" s="135">
        <v>41.58</v>
      </c>
      <c r="AO16" s="111" t="s">
        <v>209</v>
      </c>
      <c r="AP16" s="111" t="s">
        <v>210</v>
      </c>
      <c r="AQ16" s="112" t="s">
        <v>200</v>
      </c>
      <c r="AZ16" s="113" t="s">
        <v>209</v>
      </c>
      <c r="BA16" s="113" t="s">
        <v>210</v>
      </c>
      <c r="BB16" s="114" t="s">
        <v>200</v>
      </c>
      <c r="BJ16" s="148" t="s">
        <v>209</v>
      </c>
      <c r="BK16" s="148" t="s">
        <v>210</v>
      </c>
      <c r="BL16" s="149" t="s">
        <v>200</v>
      </c>
    </row>
    <row r="17" spans="1:70" ht="14.65" x14ac:dyDescent="0.4">
      <c r="A17" s="90" t="s">
        <v>328</v>
      </c>
      <c r="B17" s="93">
        <v>0.02</v>
      </c>
      <c r="C17" s="107"/>
      <c r="D17" s="107">
        <v>0.9</v>
      </c>
      <c r="E17" s="172"/>
      <c r="F17" s="107">
        <v>0</v>
      </c>
      <c r="G17" s="107">
        <f>F17*(1+$B$17)</f>
        <v>0</v>
      </c>
      <c r="H17" s="107">
        <f t="shared" ref="H17:J17" si="8">G17*(1+$B$17)</f>
        <v>0</v>
      </c>
      <c r="I17" s="107">
        <f t="shared" si="8"/>
        <v>0</v>
      </c>
      <c r="J17" s="107">
        <f t="shared" si="8"/>
        <v>0</v>
      </c>
      <c r="N17" s="193" t="s">
        <v>6</v>
      </c>
      <c r="O17" s="193"/>
      <c r="P17" s="193"/>
      <c r="AO17" s="97">
        <f>+$P$48*$Q$48</f>
        <v>34650</v>
      </c>
      <c r="AP17" s="128">
        <f>+AQ17/AO17</f>
        <v>1.184935064935065</v>
      </c>
      <c r="AQ17" s="131">
        <v>41058</v>
      </c>
      <c r="AR17" s="135">
        <v>41.58</v>
      </c>
      <c r="AZ17" s="97">
        <f>+$P$48*$Q$48</f>
        <v>34650</v>
      </c>
      <c r="BA17" s="128">
        <f>+BB17/AZ17</f>
        <v>1.184935064935065</v>
      </c>
      <c r="BB17" s="131">
        <v>41058</v>
      </c>
      <c r="BC17" s="135">
        <v>41.58</v>
      </c>
      <c r="BJ17" s="97">
        <f>+$P$48*$Q$48</f>
        <v>34650</v>
      </c>
      <c r="BK17" s="128">
        <f>+BL17/BJ17</f>
        <v>1.184935064935065</v>
      </c>
      <c r="BL17" s="131">
        <v>41058</v>
      </c>
      <c r="BM17" s="135">
        <v>41.58</v>
      </c>
    </row>
    <row r="18" spans="1:70" x14ac:dyDescent="0.25">
      <c r="A18" s="90" t="s">
        <v>324</v>
      </c>
      <c r="B18" s="93">
        <v>0.02</v>
      </c>
      <c r="C18" s="107"/>
      <c r="D18" s="107">
        <v>3</v>
      </c>
      <c r="E18" s="172"/>
      <c r="F18" s="107">
        <v>4.43</v>
      </c>
      <c r="G18" s="107">
        <f>F18*(1+$B$18)</f>
        <v>4.5186000000000002</v>
      </c>
      <c r="H18" s="107">
        <f>G18*(1+$B$18)</f>
        <v>4.6089720000000005</v>
      </c>
      <c r="I18" s="107">
        <f>H18*(1+$B$18)</f>
        <v>4.7011514400000003</v>
      </c>
      <c r="J18" s="107">
        <f>I18*(1+$B$18)</f>
        <v>4.7951744688</v>
      </c>
      <c r="L18">
        <v>4.4000000000000004</v>
      </c>
      <c r="N18" s="99" t="s">
        <v>1</v>
      </c>
      <c r="O18" s="99" t="s">
        <v>7</v>
      </c>
      <c r="P18" s="99" t="s">
        <v>8</v>
      </c>
    </row>
    <row r="19" spans="1:70" x14ac:dyDescent="0.25">
      <c r="A19" s="62" t="s">
        <v>347</v>
      </c>
      <c r="B19" s="3">
        <v>0.02</v>
      </c>
      <c r="C19" s="107"/>
      <c r="D19" s="107">
        <v>13.1</v>
      </c>
      <c r="E19" s="172"/>
      <c r="F19" s="107">
        <v>28.484999999999999</v>
      </c>
      <c r="G19" s="107"/>
      <c r="H19" s="107">
        <f>G19*(1+$B$19)</f>
        <v>0</v>
      </c>
      <c r="I19" s="107">
        <f>H19*(1+$B$19)</f>
        <v>0</v>
      </c>
      <c r="J19" s="107">
        <f>I19*(1+$B$19)</f>
        <v>0</v>
      </c>
      <c r="L19">
        <v>28.58</v>
      </c>
      <c r="N19" s="102">
        <v>0.05</v>
      </c>
      <c r="O19" s="95">
        <v>400000</v>
      </c>
      <c r="P19" s="2">
        <f>O19*N19</f>
        <v>20000</v>
      </c>
      <c r="Z19" s="196" t="s">
        <v>317</v>
      </c>
      <c r="AA19" s="196"/>
      <c r="AB19" s="196"/>
    </row>
    <row r="20" spans="1:70" x14ac:dyDescent="0.25">
      <c r="A20" s="90" t="s">
        <v>348</v>
      </c>
      <c r="B20" s="93">
        <v>0.02</v>
      </c>
      <c r="C20" s="107"/>
      <c r="D20" s="107"/>
      <c r="E20" s="172"/>
      <c r="F20" s="107"/>
      <c r="G20" s="107">
        <v>25</v>
      </c>
      <c r="H20" s="107">
        <v>40</v>
      </c>
      <c r="I20" s="107">
        <f t="shared" ref="I20:J20" si="9">H20*(1+$B$20)</f>
        <v>40.799999999999997</v>
      </c>
      <c r="J20" s="107">
        <f t="shared" si="9"/>
        <v>41.616</v>
      </c>
      <c r="Z20" s="211" t="s">
        <v>215</v>
      </c>
      <c r="AA20" s="212"/>
      <c r="AB20" s="213"/>
      <c r="AE20" s="207" t="s">
        <v>219</v>
      </c>
      <c r="AF20" s="208"/>
      <c r="AG20" s="209"/>
    </row>
    <row r="21" spans="1:70" x14ac:dyDescent="0.25">
      <c r="A21" s="90" t="s">
        <v>325</v>
      </c>
      <c r="B21" s="3">
        <v>0.02</v>
      </c>
      <c r="C21" s="107"/>
      <c r="D21" s="107">
        <v>11</v>
      </c>
      <c r="E21" s="172"/>
      <c r="F21" s="107">
        <v>11.4</v>
      </c>
      <c r="G21" s="107">
        <f>F21*(0.8+$B$21)</f>
        <v>9.3480000000000008</v>
      </c>
      <c r="H21" s="107">
        <f t="shared" ref="H21:J21" si="10">G21*(0.8+$B$21)</f>
        <v>7.6653600000000015</v>
      </c>
      <c r="I21" s="107">
        <f t="shared" si="10"/>
        <v>6.2855952000000013</v>
      </c>
      <c r="J21" s="107">
        <f t="shared" si="10"/>
        <v>5.1541880640000013</v>
      </c>
      <c r="L21">
        <v>11.4</v>
      </c>
      <c r="Z21" s="105" t="s">
        <v>202</v>
      </c>
      <c r="AA21" s="105" t="s">
        <v>211</v>
      </c>
      <c r="AB21" s="105" t="s">
        <v>207</v>
      </c>
      <c r="AE21" s="109" t="s">
        <v>202</v>
      </c>
      <c r="AF21" s="109" t="s">
        <v>211</v>
      </c>
      <c r="AG21" s="109" t="s">
        <v>207</v>
      </c>
      <c r="AJ21" s="207" t="s">
        <v>219</v>
      </c>
      <c r="AK21" s="208"/>
      <c r="AL21" s="209"/>
      <c r="AO21" s="218" t="s">
        <v>223</v>
      </c>
      <c r="AP21" s="218"/>
      <c r="AQ21" s="218"/>
      <c r="AT21" s="218" t="s">
        <v>223</v>
      </c>
      <c r="AU21" s="218"/>
      <c r="AV21" s="218"/>
      <c r="AZ21" s="227" t="s">
        <v>227</v>
      </c>
      <c r="BA21" s="227"/>
      <c r="BB21" s="227"/>
      <c r="BE21" s="227" t="s">
        <v>227</v>
      </c>
      <c r="BF21" s="227"/>
      <c r="BG21" s="227"/>
      <c r="BJ21" s="228" t="s">
        <v>312</v>
      </c>
      <c r="BK21" s="228"/>
      <c r="BL21" s="228"/>
      <c r="BO21" s="228" t="s">
        <v>312</v>
      </c>
      <c r="BP21" s="228"/>
      <c r="BQ21" s="228"/>
    </row>
    <row r="22" spans="1:70" x14ac:dyDescent="0.25">
      <c r="A22" s="90" t="s">
        <v>336</v>
      </c>
      <c r="B22" s="3">
        <v>0.02</v>
      </c>
      <c r="C22" s="107"/>
      <c r="D22" s="107">
        <v>13</v>
      </c>
      <c r="E22" s="172"/>
      <c r="F22" s="107">
        <v>5.7329999999999997</v>
      </c>
      <c r="G22" s="107">
        <f>F22*(3+$B$22)</f>
        <v>17.313659999999999</v>
      </c>
      <c r="H22" s="107">
        <f>G22*(1+$B$22)</f>
        <v>17.659933199999998</v>
      </c>
      <c r="I22" s="107">
        <f>H22*(1+$B$22)</f>
        <v>18.013131863999998</v>
      </c>
      <c r="J22" s="107">
        <f>I22*(1+$B$22)</f>
        <v>18.37339450128</v>
      </c>
      <c r="L22">
        <v>5</v>
      </c>
      <c r="Z22" s="103">
        <v>84830</v>
      </c>
      <c r="AA22" s="127">
        <f>+AB22/Z22</f>
        <v>0.14980549333962043</v>
      </c>
      <c r="AB22" s="131">
        <v>12708</v>
      </c>
      <c r="AC22" s="135">
        <v>12.97</v>
      </c>
      <c r="AE22" s="103">
        <f>+($N$14*49.9)*12</f>
        <v>101796</v>
      </c>
      <c r="AF22" s="127">
        <f>+AG22/AE22</f>
        <v>0.69772879091516371</v>
      </c>
      <c r="AG22" s="131">
        <v>71026</v>
      </c>
      <c r="AH22" s="135">
        <v>71.260000000000005</v>
      </c>
      <c r="AJ22" s="109" t="s">
        <v>202</v>
      </c>
      <c r="AK22" s="109" t="s">
        <v>211</v>
      </c>
      <c r="AL22" s="109" t="s">
        <v>207</v>
      </c>
      <c r="AO22" s="111" t="s">
        <v>202</v>
      </c>
      <c r="AP22" s="111" t="s">
        <v>211</v>
      </c>
      <c r="AQ22" s="111" t="s">
        <v>207</v>
      </c>
      <c r="AT22" s="111" t="s">
        <v>202</v>
      </c>
      <c r="AU22" s="111" t="s">
        <v>211</v>
      </c>
      <c r="AV22" s="111" t="s">
        <v>207</v>
      </c>
      <c r="AZ22" s="113" t="s">
        <v>202</v>
      </c>
      <c r="BA22" s="113" t="s">
        <v>211</v>
      </c>
      <c r="BB22" s="113" t="s">
        <v>207</v>
      </c>
      <c r="BE22" s="113" t="s">
        <v>202</v>
      </c>
      <c r="BF22" s="113" t="s">
        <v>211</v>
      </c>
      <c r="BG22" s="113" t="s">
        <v>207</v>
      </c>
      <c r="BJ22" s="148" t="s">
        <v>202</v>
      </c>
      <c r="BK22" s="148" t="s">
        <v>211</v>
      </c>
      <c r="BL22" s="148" t="s">
        <v>207</v>
      </c>
      <c r="BO22" s="148" t="s">
        <v>202</v>
      </c>
      <c r="BP22" s="148" t="s">
        <v>211</v>
      </c>
      <c r="BQ22" s="148" t="s">
        <v>207</v>
      </c>
    </row>
    <row r="23" spans="1:70" ht="14.65" x14ac:dyDescent="0.4">
      <c r="A23" s="90" t="s">
        <v>335</v>
      </c>
      <c r="B23" s="3">
        <v>0.02</v>
      </c>
      <c r="C23" s="107"/>
      <c r="D23" s="107">
        <v>1.1000000000000001</v>
      </c>
      <c r="E23" s="172"/>
      <c r="F23" s="107">
        <v>1.2</v>
      </c>
      <c r="G23" s="107">
        <f>F23*(1+$B$23)</f>
        <v>1.224</v>
      </c>
      <c r="H23" s="107">
        <f t="shared" ref="H23:J23" si="11">G23*(1+$B$23)</f>
        <v>1.24848</v>
      </c>
      <c r="I23" s="107">
        <f t="shared" si="11"/>
        <v>1.2734496</v>
      </c>
      <c r="J23" s="107">
        <f t="shared" si="11"/>
        <v>1.2989185919999999</v>
      </c>
      <c r="L23">
        <v>1.2</v>
      </c>
      <c r="AJ23" s="103">
        <f>+($N$14*49.9)*12</f>
        <v>101796</v>
      </c>
      <c r="AK23" s="127">
        <f>+AL23/AJ23</f>
        <v>0.39365004518841606</v>
      </c>
      <c r="AL23" s="131">
        <v>40072</v>
      </c>
      <c r="AM23" s="135">
        <v>40.72</v>
      </c>
      <c r="AO23" s="103">
        <f>+($N$14*49.9)*12</f>
        <v>101796</v>
      </c>
      <c r="AP23" s="127">
        <f>+AQ23/AO23</f>
        <v>0.99296632480647573</v>
      </c>
      <c r="AQ23" s="131">
        <v>101080</v>
      </c>
      <c r="AR23" s="135">
        <v>101.8</v>
      </c>
      <c r="AT23" s="103">
        <f>+($N$14*49.9)*12</f>
        <v>101796</v>
      </c>
      <c r="AU23" s="127">
        <f>+AV23/AT23</f>
        <v>0.69772879091516371</v>
      </c>
      <c r="AV23" s="131">
        <v>71026</v>
      </c>
      <c r="AW23" s="135">
        <v>71.260000000000005</v>
      </c>
      <c r="AZ23" s="103">
        <f>+($N$14*49.9)*12</f>
        <v>101796</v>
      </c>
      <c r="BA23" s="127">
        <f>+BB23/AZ23</f>
        <v>1.8867047821132461</v>
      </c>
      <c r="BB23" s="131">
        <v>192059</v>
      </c>
      <c r="BC23" s="135">
        <v>192.59</v>
      </c>
      <c r="BE23" s="103">
        <f>+($N$14*49.9)*12</f>
        <v>101796</v>
      </c>
      <c r="BF23" s="127">
        <f>+BG23/BE23</f>
        <v>0.99296632480647573</v>
      </c>
      <c r="BG23" s="131">
        <v>101080</v>
      </c>
      <c r="BH23" s="135">
        <v>101.8</v>
      </c>
      <c r="BJ23" s="103">
        <f>+($N$14*49.9)*12</f>
        <v>101796</v>
      </c>
      <c r="BK23" s="127">
        <f>+BL23/BJ23</f>
        <v>1.8867047821132461</v>
      </c>
      <c r="BL23" s="131">
        <v>192059</v>
      </c>
      <c r="BM23" s="135">
        <v>192.59</v>
      </c>
      <c r="BO23" s="103">
        <f>+($N$14*49.9)*12</f>
        <v>101796</v>
      </c>
      <c r="BP23" s="127">
        <f>+BQ23/BO23</f>
        <v>0.88490706904004091</v>
      </c>
      <c r="BQ23" s="131">
        <v>90080</v>
      </c>
      <c r="BR23" s="135">
        <v>90.8</v>
      </c>
    </row>
    <row r="24" spans="1:70" ht="14.65" x14ac:dyDescent="0.4">
      <c r="A24" s="90" t="s">
        <v>196</v>
      </c>
      <c r="B24" s="3">
        <v>1.2E-2</v>
      </c>
      <c r="C24" s="107">
        <v>10</v>
      </c>
      <c r="D24" s="107"/>
      <c r="E24" s="172"/>
      <c r="F24" s="107"/>
      <c r="G24" s="107">
        <f>C24*(1+$B$24)</f>
        <v>10.120000000000001</v>
      </c>
      <c r="H24" s="107">
        <f>G24*(1+$B$24)</f>
        <v>10.241440000000001</v>
      </c>
      <c r="I24" s="107">
        <f>H24*(1+$B$24)</f>
        <v>10.364337280000001</v>
      </c>
      <c r="J24" s="107">
        <f>I24*(1+$B$24)</f>
        <v>10.488709327360001</v>
      </c>
    </row>
    <row r="25" spans="1:70" x14ac:dyDescent="0.25">
      <c r="A25" s="90" t="s">
        <v>334</v>
      </c>
      <c r="B25" s="3">
        <v>0.02</v>
      </c>
      <c r="C25" s="107"/>
      <c r="D25" s="167">
        <v>0.5</v>
      </c>
      <c r="E25" s="172"/>
      <c r="F25" s="107">
        <f>D25*(1+$B$25)</f>
        <v>0.51</v>
      </c>
      <c r="G25" s="107">
        <f t="shared" ref="G25:J25" si="12">E25*(1+$B$25)</f>
        <v>0</v>
      </c>
      <c r="H25" s="107">
        <f t="shared" si="12"/>
        <v>0.5202</v>
      </c>
      <c r="I25" s="107">
        <f t="shared" si="12"/>
        <v>0</v>
      </c>
      <c r="J25" s="107">
        <f t="shared" si="12"/>
        <v>0.53060399999999996</v>
      </c>
      <c r="L25">
        <v>0.5</v>
      </c>
      <c r="N25" s="193" t="s">
        <v>256</v>
      </c>
      <c r="O25" s="193"/>
      <c r="P25" s="202" t="s">
        <v>190</v>
      </c>
      <c r="Q25" s="203"/>
      <c r="R25" s="204"/>
      <c r="Z25" s="108" t="s">
        <v>233</v>
      </c>
      <c r="AA25" s="132">
        <f>+AA26/P27</f>
        <v>0.3147622053872054</v>
      </c>
      <c r="AB25" s="1" t="s">
        <v>351</v>
      </c>
      <c r="AE25" s="110" t="s">
        <v>233</v>
      </c>
      <c r="AF25" s="132">
        <f>+AF26/P27</f>
        <v>0.65561868686868685</v>
      </c>
      <c r="AN25" s="141"/>
      <c r="AS25" s="141"/>
      <c r="AX25" s="141"/>
    </row>
    <row r="26" spans="1:70" x14ac:dyDescent="0.25">
      <c r="A26" s="62" t="s">
        <v>349</v>
      </c>
      <c r="B26" s="3">
        <v>0.02</v>
      </c>
      <c r="C26" s="107">
        <v>3</v>
      </c>
      <c r="D26" s="107"/>
      <c r="E26" s="172"/>
      <c r="F26" s="107">
        <v>1.365</v>
      </c>
      <c r="G26" s="107">
        <f>C26*(1+$B$26)</f>
        <v>3.06</v>
      </c>
      <c r="H26" s="107">
        <f>G26*(1+$B$26)</f>
        <v>3.1212</v>
      </c>
      <c r="I26" s="107">
        <f>H26*(1+$B$26)</f>
        <v>3.183624</v>
      </c>
      <c r="J26" s="107">
        <f>I26*(1+$B$26)</f>
        <v>3.2472964800000002</v>
      </c>
      <c r="L26">
        <v>1.4</v>
      </c>
      <c r="N26" s="99" t="s">
        <v>5</v>
      </c>
      <c r="O26" s="99" t="s">
        <v>198</v>
      </c>
      <c r="P26" s="99" t="s">
        <v>240</v>
      </c>
      <c r="Q26" s="99" t="s">
        <v>206</v>
      </c>
      <c r="R26" s="99" t="s">
        <v>200</v>
      </c>
      <c r="Z26" s="108" t="s">
        <v>259</v>
      </c>
      <c r="AA26" s="88">
        <v>5983</v>
      </c>
      <c r="AE26" s="110" t="s">
        <v>259</v>
      </c>
      <c r="AF26" s="88">
        <v>12462</v>
      </c>
      <c r="AJ26" s="110" t="s">
        <v>233</v>
      </c>
      <c r="AK26" s="132">
        <f>AA25</f>
        <v>0.3147622053872054</v>
      </c>
      <c r="AO26" s="112" t="s">
        <v>233</v>
      </c>
      <c r="AP26" s="132">
        <f>+AP27/P27</f>
        <v>0.83080808080808077</v>
      </c>
      <c r="AT26" s="112" t="s">
        <v>233</v>
      </c>
      <c r="AU26" s="132">
        <f>+AU27/P27</f>
        <v>0.65561868686868685</v>
      </c>
      <c r="AZ26" s="114" t="s">
        <v>233</v>
      </c>
      <c r="BA26" s="132">
        <f>+BA27/$P$27</f>
        <v>1.1783459595959596</v>
      </c>
      <c r="BE26" s="114" t="s">
        <v>233</v>
      </c>
      <c r="BF26" s="132">
        <f>+BF27/P27</f>
        <v>0.83080808080808077</v>
      </c>
      <c r="BJ26" s="149" t="s">
        <v>233</v>
      </c>
      <c r="BK26" s="132">
        <f>+BK27/$P$27</f>
        <v>1.0731271043771045</v>
      </c>
      <c r="BO26" s="149" t="s">
        <v>233</v>
      </c>
      <c r="BP26" s="132">
        <f>+BP27/P27</f>
        <v>0.83080808080808077</v>
      </c>
    </row>
    <row r="27" spans="1:70" x14ac:dyDescent="0.25">
      <c r="A27" s="90" t="s">
        <v>330</v>
      </c>
      <c r="B27" s="3">
        <v>0.02</v>
      </c>
      <c r="C27" s="107"/>
      <c r="D27" s="166"/>
      <c r="E27" s="174"/>
      <c r="F27" s="122"/>
      <c r="G27" s="191">
        <v>10</v>
      </c>
      <c r="H27" s="191">
        <v>10</v>
      </c>
      <c r="I27" s="192">
        <v>10</v>
      </c>
      <c r="J27" s="191">
        <v>10</v>
      </c>
      <c r="N27" s="95">
        <v>8</v>
      </c>
      <c r="O27" s="104">
        <f>+($N$27*9*6)*4</f>
        <v>1728</v>
      </c>
      <c r="P27" s="88">
        <f>+$O$27*11</f>
        <v>19008</v>
      </c>
      <c r="Q27" s="129">
        <f>+R27/P27</f>
        <v>4.3139730639730637E-4</v>
      </c>
      <c r="R27" s="138">
        <v>8.1999999999999993</v>
      </c>
      <c r="AJ27" s="110" t="s">
        <v>259</v>
      </c>
      <c r="AK27" s="88">
        <v>5983</v>
      </c>
      <c r="AO27" s="112" t="s">
        <v>259</v>
      </c>
      <c r="AP27" s="88">
        <v>15792</v>
      </c>
      <c r="AT27" s="112" t="s">
        <v>259</v>
      </c>
      <c r="AU27" s="88">
        <v>12462</v>
      </c>
      <c r="AZ27" s="114" t="s">
        <v>259</v>
      </c>
      <c r="BA27" s="88">
        <v>22398</v>
      </c>
      <c r="BE27" s="114" t="s">
        <v>259</v>
      </c>
      <c r="BF27" s="88">
        <v>15792</v>
      </c>
      <c r="BJ27" s="149" t="s">
        <v>259</v>
      </c>
      <c r="BK27" s="88">
        <v>20398</v>
      </c>
      <c r="BO27" s="149" t="s">
        <v>259</v>
      </c>
      <c r="BP27" s="88">
        <v>15792</v>
      </c>
    </row>
    <row r="28" spans="1:70" x14ac:dyDescent="0.25">
      <c r="A28" s="62" t="s">
        <v>164</v>
      </c>
      <c r="B28" s="95">
        <v>5</v>
      </c>
      <c r="C28" s="107"/>
      <c r="D28" s="92">
        <v>2.8</v>
      </c>
      <c r="E28" s="172"/>
      <c r="F28" s="107">
        <v>2.8</v>
      </c>
      <c r="G28" s="107">
        <f>F61/$B$28</f>
        <v>-0.55999999999999994</v>
      </c>
      <c r="H28" s="107">
        <f>G61/$B$28</f>
        <v>-0.44799999999999995</v>
      </c>
      <c r="I28" s="107">
        <f>H61/$B$28</f>
        <v>-0.35839999999999994</v>
      </c>
      <c r="J28" s="107">
        <f>I61/$B$28</f>
        <v>-0.28671999999999997</v>
      </c>
      <c r="L28">
        <v>2.8</v>
      </c>
    </row>
    <row r="29" spans="1:70" ht="14.65" x14ac:dyDescent="0.4">
      <c r="A29" s="62" t="s">
        <v>165</v>
      </c>
      <c r="B29" s="95">
        <v>5</v>
      </c>
      <c r="C29" s="107"/>
      <c r="D29" s="92">
        <v>5.4</v>
      </c>
      <c r="E29" s="172"/>
      <c r="F29" s="107">
        <v>5.4</v>
      </c>
      <c r="G29" s="107">
        <v>2</v>
      </c>
      <c r="H29" s="107">
        <v>0.4</v>
      </c>
      <c r="I29" s="107"/>
      <c r="J29" s="107"/>
      <c r="L29">
        <v>4.4000000000000004</v>
      </c>
      <c r="P29" s="194" t="s">
        <v>322</v>
      </c>
      <c r="Q29" s="195"/>
    </row>
    <row r="30" spans="1:70" ht="14.65" x14ac:dyDescent="0.4">
      <c r="A30" s="90" t="s">
        <v>333</v>
      </c>
      <c r="B30" s="65">
        <f>+SUM(D15:D31)</f>
        <v>125.83999999999999</v>
      </c>
      <c r="C30" s="91"/>
      <c r="D30" s="107"/>
      <c r="E30" s="172"/>
      <c r="F30" s="122"/>
      <c r="G30" s="122"/>
      <c r="H30" s="122"/>
      <c r="I30" s="122"/>
      <c r="J30" s="122"/>
      <c r="P30" s="155"/>
      <c r="Q30" s="156"/>
    </row>
    <row r="31" spans="1:70" x14ac:dyDescent="0.25">
      <c r="A31" s="90" t="s">
        <v>363</v>
      </c>
      <c r="B31" s="91"/>
      <c r="C31" s="91"/>
      <c r="D31" s="107">
        <v>11</v>
      </c>
      <c r="E31" s="172"/>
      <c r="F31" s="107">
        <v>2.754</v>
      </c>
      <c r="G31" s="107"/>
      <c r="H31" s="107"/>
      <c r="I31" s="107"/>
      <c r="J31" s="107"/>
      <c r="L31">
        <v>2.8</v>
      </c>
      <c r="P31" s="134" t="s">
        <v>242</v>
      </c>
      <c r="Q31" s="96">
        <v>1</v>
      </c>
    </row>
    <row r="32" spans="1:70" x14ac:dyDescent="0.25">
      <c r="A32" s="86" t="s">
        <v>125</v>
      </c>
      <c r="B32" s="79"/>
      <c r="C32" s="79"/>
      <c r="D32" s="188">
        <f t="shared" ref="D32" si="13">+D14-SUM(D15:D31)</f>
        <v>-104.94</v>
      </c>
      <c r="E32" s="173"/>
      <c r="F32" s="79">
        <f>+F14-SUM(F15:F30)</f>
        <v>-33.052800000000019</v>
      </c>
      <c r="G32" s="79">
        <f t="shared" ref="G32:J32" si="14">+G14-SUM(G15:G30)</f>
        <v>7.6082939999999724</v>
      </c>
      <c r="H32" s="79">
        <f t="shared" si="14"/>
        <v>64.418632379999991</v>
      </c>
      <c r="I32" s="79">
        <f t="shared" si="14"/>
        <v>172.64490442260001</v>
      </c>
      <c r="J32" s="79">
        <f t="shared" si="14"/>
        <v>313.58193003054203</v>
      </c>
      <c r="L32" s="190">
        <f>SUM(L15:L31)</f>
        <v>117.18</v>
      </c>
      <c r="P32" s="88" t="s">
        <v>241</v>
      </c>
      <c r="Q32" s="131">
        <v>15</v>
      </c>
      <c r="Z32" s="211" t="s">
        <v>255</v>
      </c>
      <c r="AA32" s="212"/>
      <c r="AB32" s="213"/>
      <c r="AE32" s="207" t="s">
        <v>262</v>
      </c>
      <c r="AF32" s="208"/>
      <c r="AG32" s="209"/>
    </row>
    <row r="33" spans="1:70" x14ac:dyDescent="0.25">
      <c r="A33" s="86" t="s">
        <v>139</v>
      </c>
      <c r="B33" s="89"/>
      <c r="C33" s="64"/>
      <c r="D33" s="64">
        <f t="shared" ref="D33:J33" si="15">D32/D14</f>
        <v>-5.0210526315789474</v>
      </c>
      <c r="E33" s="175"/>
      <c r="F33" s="64">
        <f t="shared" si="15"/>
        <v>-0.39839450370638241</v>
      </c>
      <c r="G33" s="64">
        <f t="shared" si="15"/>
        <v>5.2318997395497377E-2</v>
      </c>
      <c r="H33" s="64">
        <f t="shared" si="15"/>
        <v>0.2977647576348762</v>
      </c>
      <c r="I33" s="64">
        <f t="shared" si="15"/>
        <v>0.53129625114205659</v>
      </c>
      <c r="J33" s="64">
        <f t="shared" si="15"/>
        <v>0.67004269852008325</v>
      </c>
      <c r="P33" s="88" t="s">
        <v>243</v>
      </c>
      <c r="Q33" s="131">
        <f>+(Q32*P27)*Q31</f>
        <v>285120</v>
      </c>
      <c r="Z33" s="105" t="s">
        <v>199</v>
      </c>
      <c r="AA33" s="105" t="s">
        <v>206</v>
      </c>
      <c r="AB33" s="105" t="s">
        <v>200</v>
      </c>
      <c r="AE33" s="109" t="s">
        <v>199</v>
      </c>
      <c r="AF33" s="109" t="s">
        <v>206</v>
      </c>
      <c r="AG33" s="109" t="s">
        <v>200</v>
      </c>
      <c r="AJ33" s="207" t="s">
        <v>262</v>
      </c>
      <c r="AK33" s="208"/>
      <c r="AL33" s="209"/>
      <c r="AO33" s="219" t="s">
        <v>269</v>
      </c>
      <c r="AP33" s="220"/>
      <c r="AQ33" s="221"/>
      <c r="AT33" s="219" t="s">
        <v>269</v>
      </c>
      <c r="AU33" s="220"/>
      <c r="AV33" s="221"/>
      <c r="AZ33" s="224" t="s">
        <v>307</v>
      </c>
      <c r="BA33" s="225"/>
      <c r="BB33" s="226"/>
      <c r="BE33" s="224" t="s">
        <v>307</v>
      </c>
      <c r="BF33" s="225"/>
      <c r="BG33" s="226"/>
      <c r="BJ33" s="229" t="s">
        <v>313</v>
      </c>
      <c r="BK33" s="230"/>
      <c r="BL33" s="231"/>
      <c r="BO33" s="229" t="s">
        <v>313</v>
      </c>
      <c r="BP33" s="230"/>
      <c r="BQ33" s="231"/>
    </row>
    <row r="34" spans="1:70" ht="14.65" x14ac:dyDescent="0.4">
      <c r="A34" s="90" t="s">
        <v>126</v>
      </c>
      <c r="B34" s="88"/>
      <c r="C34" s="91"/>
      <c r="D34" s="91"/>
      <c r="E34" s="172"/>
      <c r="F34" s="91"/>
      <c r="G34" s="91"/>
      <c r="H34" s="91"/>
      <c r="I34" s="91"/>
      <c r="J34" s="91"/>
      <c r="Z34" s="88">
        <f>+$O$27*11</f>
        <v>19008</v>
      </c>
      <c r="AA34" s="127">
        <f>+AB34/Q33</f>
        <v>0.15979938271604938</v>
      </c>
      <c r="AB34" s="131">
        <v>45562</v>
      </c>
      <c r="AC34" s="135">
        <v>45.561999999999998</v>
      </c>
      <c r="AE34" s="88">
        <f>+$O$27*11</f>
        <v>19008</v>
      </c>
      <c r="AF34" s="127">
        <f>+AG34/Q33</f>
        <v>0.19992283950617284</v>
      </c>
      <c r="AG34" s="131">
        <v>57002</v>
      </c>
      <c r="AH34" s="135">
        <v>57.02</v>
      </c>
      <c r="AJ34" s="109" t="s">
        <v>199</v>
      </c>
      <c r="AK34" s="109" t="s">
        <v>206</v>
      </c>
      <c r="AL34" s="109" t="s">
        <v>200</v>
      </c>
      <c r="AO34" s="111" t="s">
        <v>199</v>
      </c>
      <c r="AP34" s="111" t="s">
        <v>206</v>
      </c>
      <c r="AQ34" s="111" t="s">
        <v>200</v>
      </c>
      <c r="AT34" s="111" t="s">
        <v>199</v>
      </c>
      <c r="AU34" s="111" t="s">
        <v>206</v>
      </c>
      <c r="AV34" s="111" t="s">
        <v>200</v>
      </c>
      <c r="AZ34" s="113" t="s">
        <v>199</v>
      </c>
      <c r="BA34" s="113" t="s">
        <v>206</v>
      </c>
      <c r="BB34" s="113" t="s">
        <v>200</v>
      </c>
      <c r="BE34" s="113" t="s">
        <v>199</v>
      </c>
      <c r="BF34" s="113" t="s">
        <v>206</v>
      </c>
      <c r="BG34" s="113" t="s">
        <v>200</v>
      </c>
      <c r="BJ34" s="148" t="s">
        <v>199</v>
      </c>
      <c r="BK34" s="148" t="s">
        <v>206</v>
      </c>
      <c r="BL34" s="148" t="s">
        <v>200</v>
      </c>
      <c r="BO34" s="148" t="s">
        <v>199</v>
      </c>
      <c r="BP34" s="148" t="s">
        <v>206</v>
      </c>
      <c r="BQ34" s="148" t="s">
        <v>200</v>
      </c>
    </row>
    <row r="35" spans="1:70" x14ac:dyDescent="0.25">
      <c r="A35" s="90" t="s">
        <v>337</v>
      </c>
      <c r="B35" s="88"/>
      <c r="C35" s="91"/>
      <c r="D35" s="91">
        <v>-0.3</v>
      </c>
      <c r="E35" s="172"/>
      <c r="F35" s="92">
        <f>-10-7</f>
        <v>-17</v>
      </c>
      <c r="G35" s="91">
        <f>-8.3-6</f>
        <v>-14.3</v>
      </c>
      <c r="H35" s="91">
        <f>-6-5.1</f>
        <v>-11.1</v>
      </c>
      <c r="I35" s="91">
        <f>-3.3-3.8</f>
        <v>-7.1</v>
      </c>
      <c r="J35" s="91">
        <v>-2.4</v>
      </c>
      <c r="AJ35" s="88">
        <f>+$O$27*11</f>
        <v>19008</v>
      </c>
      <c r="AK35" s="127">
        <f>+AL35/Q33</f>
        <v>0.12630471380471381</v>
      </c>
      <c r="AL35" s="131">
        <v>36012</v>
      </c>
      <c r="AM35" s="135">
        <v>36.119999999999997</v>
      </c>
      <c r="AO35" s="88">
        <f>+$O$27*11</f>
        <v>19008</v>
      </c>
      <c r="AP35" s="127">
        <f>+AQ35/Q33</f>
        <v>0.53312991021324352</v>
      </c>
      <c r="AQ35" s="131">
        <v>152006</v>
      </c>
      <c r="AR35" s="135">
        <v>152.06</v>
      </c>
      <c r="AT35" s="88">
        <f>+$O$27*11</f>
        <v>19008</v>
      </c>
      <c r="AU35" s="127">
        <f>+AV35/Q33</f>
        <v>0.19992283950617284</v>
      </c>
      <c r="AV35" s="131">
        <v>57002</v>
      </c>
      <c r="AW35" s="135">
        <v>57.02</v>
      </c>
      <c r="AZ35" s="88">
        <f>+$O$27*11</f>
        <v>19008</v>
      </c>
      <c r="BA35" s="127">
        <f>+BB35/Q33</f>
        <v>0.53312991021324352</v>
      </c>
      <c r="BB35" s="131">
        <v>152006</v>
      </c>
      <c r="BC35" s="135">
        <v>152.06</v>
      </c>
      <c r="BE35" s="88">
        <f>+$O$27*11</f>
        <v>19008</v>
      </c>
      <c r="BF35" s="127">
        <f>+BG35/Q33</f>
        <v>0.53312991021324352</v>
      </c>
      <c r="BG35" s="131">
        <v>152006</v>
      </c>
      <c r="BH35" s="135">
        <v>152.06</v>
      </c>
      <c r="BJ35" s="88">
        <f>+$O$27*11</f>
        <v>19008</v>
      </c>
      <c r="BK35" s="127">
        <f>+BL35/Q33</f>
        <v>0.53312991021324352</v>
      </c>
      <c r="BL35" s="131">
        <v>152006</v>
      </c>
      <c r="BM35" s="135">
        <v>152.06</v>
      </c>
      <c r="BO35" s="88">
        <f>+$O$27*11</f>
        <v>19008</v>
      </c>
      <c r="BP35" s="127">
        <f>+BQ35/Q33</f>
        <v>0.53312991021324352</v>
      </c>
      <c r="BQ35" s="131">
        <v>152006</v>
      </c>
      <c r="BR35" s="135">
        <v>152.06</v>
      </c>
    </row>
    <row r="36" spans="1:70" x14ac:dyDescent="0.25">
      <c r="A36" s="90" t="s">
        <v>128</v>
      </c>
      <c r="B36" s="93">
        <v>0.25</v>
      </c>
      <c r="C36" s="91"/>
      <c r="D36" s="91">
        <v>0</v>
      </c>
      <c r="E36" s="172"/>
      <c r="F36" s="91">
        <v>0</v>
      </c>
      <c r="G36" s="91">
        <v>0</v>
      </c>
      <c r="H36" s="91">
        <v>0</v>
      </c>
      <c r="I36" s="91">
        <f>-(I32+I34+I35)*$B$36</f>
        <v>-41.386226105650003</v>
      </c>
      <c r="J36" s="91">
        <f>-(J32+J34+J35)*$B$36</f>
        <v>-77.795482507635512</v>
      </c>
      <c r="AB36" s="183">
        <f>AB34+AB22+AB16+AB10+AB6</f>
        <v>87260</v>
      </c>
    </row>
    <row r="37" spans="1:70" x14ac:dyDescent="0.25">
      <c r="A37" s="86" t="s">
        <v>129</v>
      </c>
      <c r="B37" s="86"/>
      <c r="C37" s="179"/>
      <c r="D37" s="179">
        <f>D32+SUM(D34:D36)</f>
        <v>-105.24</v>
      </c>
      <c r="E37" s="172"/>
      <c r="F37" s="179">
        <f t="shared" ref="F37:J37" si="16">F32+SUM(F34:F36)</f>
        <v>-50.052800000000019</v>
      </c>
      <c r="G37" s="179">
        <f t="shared" si="16"/>
        <v>-6.6917060000000284</v>
      </c>
      <c r="H37" s="179">
        <f t="shared" si="16"/>
        <v>53.31863237999999</v>
      </c>
      <c r="I37" s="179">
        <f t="shared" si="16"/>
        <v>124.15867831695</v>
      </c>
      <c r="J37" s="179">
        <f t="shared" si="16"/>
        <v>233.38644752290651</v>
      </c>
      <c r="L37" s="157" t="s">
        <v>140</v>
      </c>
      <c r="M37" s="157"/>
    </row>
    <row r="38" spans="1:70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L38" s="88" t="s">
        <v>171</v>
      </c>
      <c r="M38" s="88">
        <v>149.4</v>
      </c>
      <c r="Z38" s="184" t="s">
        <v>353</v>
      </c>
      <c r="AA38" s="185"/>
      <c r="AB38" s="185"/>
    </row>
    <row r="39" spans="1:70" x14ac:dyDescent="0.25">
      <c r="A39" s="89" t="s">
        <v>178</v>
      </c>
      <c r="B39" s="88"/>
      <c r="C39" s="88"/>
      <c r="D39" s="130" t="s">
        <v>190</v>
      </c>
      <c r="E39" s="170"/>
      <c r="F39" s="118" t="s">
        <v>191</v>
      </c>
      <c r="G39" s="117" t="s">
        <v>192</v>
      </c>
      <c r="H39" s="116" t="s">
        <v>193</v>
      </c>
      <c r="I39" s="115" t="s">
        <v>194</v>
      </c>
      <c r="J39" s="140" t="s">
        <v>254</v>
      </c>
      <c r="L39" s="88" t="s">
        <v>172</v>
      </c>
      <c r="M39" s="88">
        <v>0</v>
      </c>
      <c r="P39" s="194" t="s">
        <v>236</v>
      </c>
      <c r="Q39" s="195"/>
      <c r="Z39" s="185" t="s">
        <v>354</v>
      </c>
      <c r="AA39" s="185">
        <v>5263</v>
      </c>
      <c r="AB39" s="185"/>
    </row>
    <row r="40" spans="1:70" x14ac:dyDescent="0.25">
      <c r="A40" s="95" t="s">
        <v>133</v>
      </c>
      <c r="B40" s="91"/>
      <c r="C40" s="91"/>
      <c r="D40" s="91">
        <f t="shared" ref="D40:J40" si="17">+D37+D28+D29</f>
        <v>-97.039999999999992</v>
      </c>
      <c r="E40" s="172"/>
      <c r="F40" s="91">
        <f t="shared" si="17"/>
        <v>-41.852800000000023</v>
      </c>
      <c r="G40" s="91">
        <f t="shared" si="17"/>
        <v>-5.251706000000028</v>
      </c>
      <c r="H40" s="91">
        <f t="shared" si="17"/>
        <v>53.270632379999988</v>
      </c>
      <c r="I40" s="91">
        <f t="shared" si="17"/>
        <v>123.80027831695</v>
      </c>
      <c r="J40" s="91">
        <f t="shared" si="17"/>
        <v>233.09972752290651</v>
      </c>
      <c r="L40" s="88" t="s">
        <v>173</v>
      </c>
      <c r="M40" s="88">
        <f>+M38+M39</f>
        <v>149.4</v>
      </c>
      <c r="P40" s="194" t="s">
        <v>355</v>
      </c>
      <c r="Q40" s="195"/>
      <c r="Z40" s="185" t="s">
        <v>360</v>
      </c>
      <c r="AA40" s="185">
        <v>50130</v>
      </c>
      <c r="AB40" s="185"/>
    </row>
    <row r="41" spans="1:70" x14ac:dyDescent="0.25">
      <c r="A41" s="90" t="s">
        <v>138</v>
      </c>
      <c r="B41" s="165"/>
      <c r="C41" s="91"/>
      <c r="D41" s="92">
        <v>93.9</v>
      </c>
      <c r="E41" s="172"/>
      <c r="F41" s="92">
        <v>55.53</v>
      </c>
      <c r="G41" s="92"/>
      <c r="H41" s="91"/>
      <c r="I41" s="91"/>
      <c r="J41" s="91"/>
      <c r="P41" s="194" t="s">
        <v>237</v>
      </c>
      <c r="Q41" s="195"/>
      <c r="Z41" s="185" t="s">
        <v>356</v>
      </c>
      <c r="AA41" s="186" t="s">
        <v>358</v>
      </c>
      <c r="AB41" s="185" t="s">
        <v>359</v>
      </c>
    </row>
    <row r="42" spans="1:70" ht="15" customHeight="1" x14ac:dyDescent="0.25">
      <c r="A42" s="90" t="s">
        <v>134</v>
      </c>
      <c r="B42" s="92"/>
      <c r="C42" s="91"/>
      <c r="D42" s="107">
        <v>10</v>
      </c>
      <c r="E42" s="172"/>
      <c r="F42" s="91"/>
      <c r="G42" s="91"/>
      <c r="H42" s="91"/>
      <c r="I42" s="91"/>
      <c r="J42" s="91"/>
      <c r="L42" s="158" t="s">
        <v>170</v>
      </c>
      <c r="M42" s="159"/>
      <c r="P42" s="194" t="s">
        <v>350</v>
      </c>
      <c r="Q42" s="195"/>
      <c r="Z42" s="185" t="s">
        <v>357</v>
      </c>
      <c r="AA42" s="186">
        <v>0.97</v>
      </c>
      <c r="AB42" s="185"/>
    </row>
    <row r="43" spans="1:70" x14ac:dyDescent="0.25">
      <c r="A43" s="90" t="s">
        <v>135</v>
      </c>
      <c r="B43" s="91">
        <v>62.7</v>
      </c>
      <c r="C43" s="91"/>
      <c r="D43" s="107">
        <v>52.6</v>
      </c>
      <c r="E43" s="172"/>
      <c r="F43" s="107">
        <f>-18.2</f>
        <v>-18.2</v>
      </c>
      <c r="G43" s="107">
        <f>-7.3-4</f>
        <v>-11.3</v>
      </c>
      <c r="H43" s="107">
        <f>-7.5-4.5</f>
        <v>-12</v>
      </c>
      <c r="I43" s="107">
        <f>-7.6-4.7</f>
        <v>-12.3</v>
      </c>
      <c r="J43" s="107">
        <f>-7.8-4.8</f>
        <v>-12.6</v>
      </c>
      <c r="L43" s="88" t="s">
        <v>168</v>
      </c>
      <c r="M43" s="88">
        <v>10</v>
      </c>
      <c r="P43" s="196" t="s">
        <v>238</v>
      </c>
      <c r="Q43" s="196"/>
    </row>
    <row r="44" spans="1:70" x14ac:dyDescent="0.25">
      <c r="A44" s="90" t="s">
        <v>136</v>
      </c>
      <c r="B44" s="91"/>
      <c r="C44" s="91"/>
      <c r="D44" s="107">
        <f>+D78</f>
        <v>6.4</v>
      </c>
      <c r="E44" s="172"/>
      <c r="F44" s="107">
        <f>+F78</f>
        <v>7.5315352054794502</v>
      </c>
      <c r="G44" s="107">
        <f>+G78</f>
        <v>0.97719629771690109</v>
      </c>
      <c r="H44" s="107">
        <f>+H78</f>
        <v>-2.1296129818082203</v>
      </c>
      <c r="I44" s="107">
        <f>+I78</f>
        <v>-5.3103767396818267</v>
      </c>
      <c r="J44" s="107">
        <f>+J78</f>
        <v>-10.133756990322796</v>
      </c>
      <c r="L44" s="88" t="s">
        <v>169</v>
      </c>
      <c r="M44" s="88">
        <v>0</v>
      </c>
      <c r="P44" s="196" t="s">
        <v>239</v>
      </c>
      <c r="Q44" s="196"/>
    </row>
    <row r="45" spans="1:70" x14ac:dyDescent="0.25">
      <c r="A45" s="90" t="s">
        <v>146</v>
      </c>
      <c r="B45" s="91"/>
      <c r="C45" s="91"/>
      <c r="D45" s="107">
        <v>-2.8</v>
      </c>
      <c r="E45" s="172"/>
      <c r="F45" s="91"/>
      <c r="G45" s="91"/>
      <c r="H45" s="91"/>
      <c r="I45" s="91"/>
      <c r="J45" s="91"/>
      <c r="L45" s="88" t="s">
        <v>173</v>
      </c>
      <c r="M45" s="88">
        <f>+M43+M44</f>
        <v>10</v>
      </c>
    </row>
    <row r="46" spans="1:70" x14ac:dyDescent="0.25">
      <c r="A46" s="90" t="s">
        <v>148</v>
      </c>
      <c r="B46" s="91"/>
      <c r="C46" s="107"/>
      <c r="D46" s="107">
        <v>-44.3</v>
      </c>
      <c r="E46" s="172"/>
      <c r="F46" s="91"/>
      <c r="G46" s="92">
        <v>-50</v>
      </c>
      <c r="H46" s="91"/>
      <c r="I46" s="91"/>
      <c r="J46" s="91"/>
      <c r="O46" s="193" t="s">
        <v>204</v>
      </c>
      <c r="P46" s="193"/>
      <c r="Q46" s="193"/>
      <c r="R46" s="193" t="s">
        <v>190</v>
      </c>
      <c r="S46" s="193"/>
      <c r="T46" s="193"/>
    </row>
    <row r="47" spans="1:70" x14ac:dyDescent="0.25">
      <c r="A47" s="90" t="s">
        <v>153</v>
      </c>
      <c r="B47" s="91"/>
      <c r="C47" s="91"/>
      <c r="D47" s="107">
        <v>-8</v>
      </c>
      <c r="E47" s="172"/>
      <c r="F47" s="91"/>
      <c r="G47" s="92">
        <v>-10</v>
      </c>
      <c r="H47" s="91"/>
      <c r="I47" s="91"/>
      <c r="J47" s="91"/>
      <c r="O47" s="99" t="s">
        <v>208</v>
      </c>
      <c r="P47" s="99" t="s">
        <v>205</v>
      </c>
      <c r="Q47" s="99" t="s">
        <v>3</v>
      </c>
      <c r="R47" s="99" t="s">
        <v>209</v>
      </c>
      <c r="S47" s="99" t="s">
        <v>210</v>
      </c>
      <c r="T47" s="4" t="s">
        <v>200</v>
      </c>
    </row>
    <row r="48" spans="1:70" x14ac:dyDescent="0.25">
      <c r="A48" s="90" t="s">
        <v>151</v>
      </c>
      <c r="B48" s="91"/>
      <c r="C48" s="91"/>
      <c r="D48" s="107">
        <v>-3.1</v>
      </c>
      <c r="E48" s="172"/>
      <c r="F48" s="91"/>
      <c r="G48" s="92">
        <v>-5</v>
      </c>
      <c r="H48" s="91"/>
      <c r="I48" s="91"/>
      <c r="J48" s="91"/>
      <c r="O48" s="100">
        <v>15</v>
      </c>
      <c r="P48" s="12">
        <f>+O48*3*11</f>
        <v>495</v>
      </c>
      <c r="Q48" s="100">
        <v>70</v>
      </c>
      <c r="R48" s="97">
        <f>+$P$48*$Q$48</f>
        <v>34650</v>
      </c>
      <c r="S48" s="126">
        <f>+T48/R48</f>
        <v>0.21650793650793651</v>
      </c>
      <c r="T48" s="131">
        <v>7502</v>
      </c>
      <c r="U48" s="88">
        <v>7.5</v>
      </c>
      <c r="Y48" s="136"/>
    </row>
    <row r="49" spans="1:49" x14ac:dyDescent="0.25">
      <c r="A49" s="168" t="s">
        <v>144</v>
      </c>
      <c r="B49" s="88"/>
      <c r="C49" s="88"/>
      <c r="D49" s="88"/>
      <c r="E49" s="176"/>
      <c r="F49" s="88"/>
      <c r="G49" s="88"/>
      <c r="H49" s="88"/>
      <c r="I49" s="88"/>
      <c r="J49" s="88"/>
    </row>
    <row r="50" spans="1:49" x14ac:dyDescent="0.25">
      <c r="A50" s="117" t="s">
        <v>137</v>
      </c>
      <c r="B50" s="164"/>
      <c r="C50" s="164"/>
      <c r="D50" s="164">
        <f>SUM(D40:D48)</f>
        <v>7.6600000000000197</v>
      </c>
      <c r="E50" s="176"/>
      <c r="F50" s="164">
        <f>D50+SUM(F40:F48)</f>
        <v>10.668735205479448</v>
      </c>
      <c r="G50" s="164">
        <f t="shared" ref="G50:J50" si="18">F50+SUM(G40:G48)</f>
        <v>-69.905774496803673</v>
      </c>
      <c r="H50" s="164">
        <f t="shared" si="18"/>
        <v>-30.764755098611907</v>
      </c>
      <c r="I50" s="164">
        <f t="shared" si="18"/>
        <v>75.425146478656274</v>
      </c>
      <c r="J50" s="164">
        <f t="shared" si="18"/>
        <v>285.79111701123998</v>
      </c>
      <c r="O50" s="193" t="s">
        <v>325</v>
      </c>
      <c r="P50" s="193"/>
    </row>
    <row r="51" spans="1:49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O51" s="232" t="s">
        <v>362</v>
      </c>
      <c r="P51" s="233"/>
    </row>
    <row r="52" spans="1:49" x14ac:dyDescent="0.25">
      <c r="A52" s="89" t="s">
        <v>156</v>
      </c>
      <c r="B52" s="88"/>
      <c r="C52" s="88"/>
      <c r="D52" s="130" t="s">
        <v>190</v>
      </c>
      <c r="E52" s="170"/>
      <c r="F52" s="118" t="s">
        <v>191</v>
      </c>
      <c r="G52" s="117" t="s">
        <v>192</v>
      </c>
      <c r="H52" s="116" t="s">
        <v>193</v>
      </c>
      <c r="I52" s="115" t="s">
        <v>194</v>
      </c>
      <c r="J52" s="140" t="s">
        <v>254</v>
      </c>
      <c r="O52" s="234"/>
      <c r="P52" s="235"/>
    </row>
    <row r="53" spans="1:49" x14ac:dyDescent="0.25">
      <c r="A53" s="88" t="s">
        <v>185</v>
      </c>
      <c r="B53" s="91"/>
      <c r="C53" s="91"/>
      <c r="D53" s="91">
        <f>C53+D37+D42</f>
        <v>-95.24</v>
      </c>
      <c r="E53" s="172"/>
      <c r="F53" s="92">
        <f>D53+F37+F42</f>
        <v>-145.2928</v>
      </c>
      <c r="G53" s="91">
        <f>F53+G37+G42</f>
        <v>-151.98450600000004</v>
      </c>
      <c r="H53" s="91">
        <f>G53+H37+H42</f>
        <v>-98.665873620000042</v>
      </c>
      <c r="I53" s="91">
        <f>H53+I37+I42</f>
        <v>25.49280469694996</v>
      </c>
      <c r="J53" s="91">
        <f>I53+J37+J42</f>
        <v>258.87925221985648</v>
      </c>
      <c r="O53" s="236"/>
      <c r="P53" s="237"/>
    </row>
    <row r="54" spans="1:49" x14ac:dyDescent="0.25">
      <c r="A54" s="88" t="s">
        <v>140</v>
      </c>
      <c r="B54" s="91"/>
      <c r="C54" s="91"/>
      <c r="D54" s="91">
        <f>+C54+D41</f>
        <v>93.9</v>
      </c>
      <c r="E54" s="172"/>
      <c r="F54" s="91">
        <f>+D54+F41</f>
        <v>149.43</v>
      </c>
      <c r="G54" s="91">
        <f>+F54+G41</f>
        <v>149.43</v>
      </c>
      <c r="H54" s="91">
        <f>+G54+H41</f>
        <v>149.43</v>
      </c>
      <c r="I54" s="91">
        <f>+H54+I41</f>
        <v>149.43</v>
      </c>
      <c r="J54" s="91">
        <f>+I54+J41</f>
        <v>149.43</v>
      </c>
    </row>
    <row r="55" spans="1:49" x14ac:dyDescent="0.25">
      <c r="A55" s="88" t="s">
        <v>141</v>
      </c>
      <c r="B55" s="91"/>
      <c r="C55" s="91"/>
      <c r="D55" s="91">
        <f>C43+D43</f>
        <v>52.6</v>
      </c>
      <c r="E55" s="172"/>
      <c r="F55" s="91">
        <f>+D55+F43</f>
        <v>34.400000000000006</v>
      </c>
      <c r="G55" s="91">
        <f>+F55+G43</f>
        <v>23.100000000000005</v>
      </c>
      <c r="H55" s="91">
        <f>+G55+H43</f>
        <v>11.100000000000005</v>
      </c>
      <c r="I55" s="91">
        <f>+H55+I43</f>
        <v>-1.1999999999999957</v>
      </c>
      <c r="J55" s="91">
        <f>+I55+J43</f>
        <v>-13.799999999999995</v>
      </c>
    </row>
    <row r="56" spans="1:49" x14ac:dyDescent="0.25">
      <c r="A56" s="88" t="s">
        <v>142</v>
      </c>
      <c r="B56" s="91"/>
      <c r="C56" s="91"/>
      <c r="D56" s="91">
        <f>+D75</f>
        <v>3</v>
      </c>
      <c r="E56" s="172"/>
      <c r="F56" s="91">
        <f t="shared" ref="F56:J57" si="19">+F75</f>
        <v>15.649209863013699</v>
      </c>
      <c r="G56" s="91">
        <f t="shared" si="19"/>
        <v>19.996857073972606</v>
      </c>
      <c r="H56" s="91">
        <f t="shared" si="19"/>
        <v>20.114641009972605</v>
      </c>
      <c r="I56" s="91">
        <f t="shared" si="19"/>
        <v>20.093690702939181</v>
      </c>
      <c r="J56" s="91">
        <f t="shared" si="19"/>
        <v>16.946580154225973</v>
      </c>
    </row>
    <row r="57" spans="1:49" x14ac:dyDescent="0.25">
      <c r="A57" s="90" t="s">
        <v>143</v>
      </c>
      <c r="B57" s="91"/>
      <c r="C57" s="91"/>
      <c r="D57" s="91">
        <f>+D76</f>
        <v>3.4</v>
      </c>
      <c r="E57" s="172"/>
      <c r="F57" s="91">
        <f t="shared" si="19"/>
        <v>2.3737499999999998</v>
      </c>
      <c r="G57" s="91">
        <f t="shared" si="19"/>
        <v>2.0833333333333335</v>
      </c>
      <c r="H57" s="91">
        <f t="shared" si="19"/>
        <v>3.3333333333333335</v>
      </c>
      <c r="I57" s="91">
        <f t="shared" si="19"/>
        <v>3.4</v>
      </c>
      <c r="J57" s="91">
        <f t="shared" si="19"/>
        <v>3.468</v>
      </c>
      <c r="O57" s="193" t="s">
        <v>326</v>
      </c>
      <c r="P57" s="193"/>
    </row>
    <row r="58" spans="1:49" x14ac:dyDescent="0.25">
      <c r="A58" s="90" t="s">
        <v>144</v>
      </c>
      <c r="B58" s="91"/>
      <c r="C58" s="91"/>
      <c r="D58" s="91">
        <v>0</v>
      </c>
      <c r="E58" s="172"/>
      <c r="F58" s="91"/>
      <c r="G58" s="91"/>
      <c r="H58" s="91"/>
      <c r="I58" s="91"/>
      <c r="J58" s="91"/>
      <c r="O58" s="232" t="s">
        <v>332</v>
      </c>
      <c r="P58" s="233"/>
    </row>
    <row r="59" spans="1:49" x14ac:dyDescent="0.25">
      <c r="A59" s="90" t="s">
        <v>145</v>
      </c>
      <c r="B59" s="91"/>
      <c r="C59" s="91"/>
      <c r="D59" s="91">
        <f>+SUM(D53:D58)</f>
        <v>57.660000000000011</v>
      </c>
      <c r="E59" s="172"/>
      <c r="F59" s="91">
        <f t="shared" ref="F59" si="20">+SUM(F53:F58)</f>
        <v>56.560159863013709</v>
      </c>
      <c r="G59" s="91">
        <f t="shared" ref="G59:J59" si="21">+SUM(G53:G58)</f>
        <v>42.625684407305918</v>
      </c>
      <c r="H59" s="91">
        <f t="shared" si="21"/>
        <v>85.312100723305903</v>
      </c>
      <c r="I59" s="91">
        <f t="shared" si="21"/>
        <v>197.21649539988917</v>
      </c>
      <c r="J59" s="91">
        <f t="shared" si="21"/>
        <v>414.92383237408245</v>
      </c>
      <c r="O59" s="234"/>
      <c r="P59" s="235"/>
    </row>
    <row r="60" spans="1:49" ht="15.75" thickBot="1" x14ac:dyDescent="0.3">
      <c r="B60" s="67"/>
      <c r="C60" s="67"/>
      <c r="D60" s="67"/>
      <c r="E60" s="172"/>
      <c r="F60" s="67"/>
      <c r="G60" s="67"/>
      <c r="H60" s="67"/>
      <c r="I60" s="67"/>
      <c r="J60" s="67"/>
      <c r="O60" s="236"/>
      <c r="P60" s="237"/>
    </row>
    <row r="61" spans="1:49" ht="15.75" thickBot="1" x14ac:dyDescent="0.3">
      <c r="A61" s="88" t="s">
        <v>146</v>
      </c>
      <c r="B61" s="91"/>
      <c r="C61" s="91"/>
      <c r="D61" s="91">
        <f>C61-D45-D28</f>
        <v>0</v>
      </c>
      <c r="E61" s="172"/>
      <c r="F61" s="91">
        <f>D61-F45-F28</f>
        <v>-2.8</v>
      </c>
      <c r="G61" s="91">
        <f t="shared" ref="G61:J62" si="22">F61-G45-G28</f>
        <v>-2.2399999999999998</v>
      </c>
      <c r="H61" s="91">
        <f t="shared" si="22"/>
        <v>-1.7919999999999998</v>
      </c>
      <c r="I61" s="91">
        <f t="shared" si="22"/>
        <v>-1.4335999999999998</v>
      </c>
      <c r="J61" s="91">
        <f t="shared" si="22"/>
        <v>-1.1468799999999999</v>
      </c>
      <c r="AS61" s="144">
        <v>17.07</v>
      </c>
      <c r="AT61" s="145" t="s">
        <v>270</v>
      </c>
      <c r="AU61" s="145">
        <v>645</v>
      </c>
    </row>
    <row r="62" spans="1:49" ht="15.75" thickBot="1" x14ac:dyDescent="0.3">
      <c r="A62" s="88" t="s">
        <v>148</v>
      </c>
      <c r="B62" s="91"/>
      <c r="C62" s="91"/>
      <c r="D62" s="91">
        <f>C62-D46-D29</f>
        <v>38.9</v>
      </c>
      <c r="E62" s="172"/>
      <c r="F62" s="91">
        <f>D62-F46-F29</f>
        <v>33.5</v>
      </c>
      <c r="G62" s="91">
        <f t="shared" si="22"/>
        <v>81.5</v>
      </c>
      <c r="H62" s="91">
        <f t="shared" si="22"/>
        <v>81.099999999999994</v>
      </c>
      <c r="I62" s="91">
        <f t="shared" si="22"/>
        <v>81.099999999999994</v>
      </c>
      <c r="J62" s="91">
        <f t="shared" si="22"/>
        <v>81.099999999999994</v>
      </c>
      <c r="O62" s="193" t="s">
        <v>330</v>
      </c>
      <c r="P62" s="193"/>
      <c r="AS62" s="146">
        <v>17.079999999999998</v>
      </c>
      <c r="AT62" s="147" t="s">
        <v>271</v>
      </c>
      <c r="AU62" s="147">
        <v>716</v>
      </c>
    </row>
    <row r="63" spans="1:49" ht="15.75" thickBot="1" x14ac:dyDescent="0.3">
      <c r="A63" s="88" t="s">
        <v>147</v>
      </c>
      <c r="B63" s="91"/>
      <c r="C63" s="91"/>
      <c r="D63" s="91">
        <f>C63-D47</f>
        <v>8</v>
      </c>
      <c r="E63" s="172"/>
      <c r="F63" s="91">
        <f>D63-F47</f>
        <v>8</v>
      </c>
      <c r="G63" s="91">
        <f>F63-G47</f>
        <v>18</v>
      </c>
      <c r="H63" s="91">
        <f>G63-H47</f>
        <v>18</v>
      </c>
      <c r="I63" s="91">
        <f>H63-I47</f>
        <v>18</v>
      </c>
      <c r="J63" s="91">
        <f>I63-J47</f>
        <v>18</v>
      </c>
      <c r="O63" s="232" t="s">
        <v>331</v>
      </c>
      <c r="P63" s="233"/>
      <c r="AS63" s="146">
        <v>17.09</v>
      </c>
      <c r="AT63" s="147" t="s">
        <v>272</v>
      </c>
      <c r="AU63" s="147">
        <v>795</v>
      </c>
      <c r="AV63" s="147">
        <v>795</v>
      </c>
      <c r="AW63" s="147" t="s">
        <v>278</v>
      </c>
    </row>
    <row r="64" spans="1:49" ht="15.75" thickBot="1" x14ac:dyDescent="0.3">
      <c r="A64" s="88" t="s">
        <v>149</v>
      </c>
      <c r="B64" s="91"/>
      <c r="C64" s="91"/>
      <c r="D64" s="91">
        <v>0</v>
      </c>
      <c r="E64" s="172"/>
      <c r="F64" s="91"/>
      <c r="G64" s="91"/>
      <c r="H64" s="91"/>
      <c r="I64" s="91"/>
      <c r="J64" s="91"/>
      <c r="O64" s="234"/>
      <c r="P64" s="235"/>
      <c r="AS64" s="146">
        <v>17.100000000000001</v>
      </c>
      <c r="AT64" s="147" t="s">
        <v>273</v>
      </c>
      <c r="AU64" s="147">
        <v>882</v>
      </c>
      <c r="AV64" s="147">
        <v>882</v>
      </c>
      <c r="AW64" s="147" t="s">
        <v>280</v>
      </c>
    </row>
    <row r="65" spans="1:49" ht="15.75" thickBot="1" x14ac:dyDescent="0.3">
      <c r="A65" s="88" t="s">
        <v>150</v>
      </c>
      <c r="B65" s="91"/>
      <c r="C65" s="91"/>
      <c r="D65" s="91">
        <v>0</v>
      </c>
      <c r="E65" s="172"/>
      <c r="F65" s="91">
        <f>+F74</f>
        <v>4.0914246575342466</v>
      </c>
      <c r="G65" s="91">
        <f>+G74</f>
        <v>7.1714589041095884</v>
      </c>
      <c r="H65" s="91">
        <f>+H74</f>
        <v>10.668855821917807</v>
      </c>
      <c r="I65" s="91">
        <f>+I74</f>
        <v>16.024948921232877</v>
      </c>
      <c r="J65" s="91">
        <f>+J74</f>
        <v>23.079595362842465</v>
      </c>
      <c r="O65" s="236"/>
      <c r="P65" s="237"/>
      <c r="AS65" s="146">
        <v>17.11</v>
      </c>
      <c r="AT65" s="147" t="s">
        <v>274</v>
      </c>
      <c r="AU65" s="147">
        <v>979</v>
      </c>
      <c r="AV65" s="147">
        <v>979</v>
      </c>
      <c r="AW65" s="147" t="s">
        <v>282</v>
      </c>
    </row>
    <row r="66" spans="1:49" ht="15.75" thickBot="1" x14ac:dyDescent="0.3">
      <c r="A66" s="88" t="s">
        <v>151</v>
      </c>
      <c r="B66" s="91"/>
      <c r="C66" s="91"/>
      <c r="D66" s="91">
        <f>C66-D48</f>
        <v>3.1</v>
      </c>
      <c r="E66" s="172"/>
      <c r="F66" s="91">
        <f>D66-F48</f>
        <v>3.1</v>
      </c>
      <c r="G66" s="91">
        <f>F66-G48</f>
        <v>8.1</v>
      </c>
      <c r="H66" s="91">
        <f>G66-H48</f>
        <v>8.1</v>
      </c>
      <c r="I66" s="91">
        <f>H66-I48</f>
        <v>8.1</v>
      </c>
      <c r="J66" s="91">
        <f>I66-J48</f>
        <v>8.1</v>
      </c>
      <c r="AS66" s="146">
        <v>17.12</v>
      </c>
      <c r="AT66" s="147" t="s">
        <v>275</v>
      </c>
      <c r="AU66" s="147" t="s">
        <v>276</v>
      </c>
      <c r="AV66" s="147" t="s">
        <v>276</v>
      </c>
      <c r="AW66" s="147" t="s">
        <v>284</v>
      </c>
    </row>
    <row r="67" spans="1:49" ht="15.75" thickBot="1" x14ac:dyDescent="0.3">
      <c r="A67" s="88" t="s">
        <v>152</v>
      </c>
      <c r="B67" s="91"/>
      <c r="C67" s="91"/>
      <c r="D67" s="91">
        <v>7.5</v>
      </c>
      <c r="E67" s="172"/>
      <c r="F67" s="91">
        <f>F50</f>
        <v>10.668735205479448</v>
      </c>
      <c r="G67" s="91">
        <f>G50</f>
        <v>-69.905774496803673</v>
      </c>
      <c r="H67" s="91">
        <f>H50</f>
        <v>-30.764755098611907</v>
      </c>
      <c r="I67" s="91">
        <f>I50</f>
        <v>75.425146478656274</v>
      </c>
      <c r="J67" s="91">
        <f>J50</f>
        <v>285.79111701123998</v>
      </c>
      <c r="AS67" s="146">
        <v>18.010000000000002</v>
      </c>
      <c r="AT67" s="147" t="s">
        <v>277</v>
      </c>
      <c r="AU67" s="147" t="s">
        <v>278</v>
      </c>
      <c r="AV67" s="147" t="s">
        <v>278</v>
      </c>
      <c r="AW67" s="147" t="s">
        <v>286</v>
      </c>
    </row>
    <row r="68" spans="1:49" ht="15.75" thickBot="1" x14ac:dyDescent="0.3">
      <c r="A68" s="90" t="s">
        <v>154</v>
      </c>
      <c r="B68" s="91"/>
      <c r="C68" s="91"/>
      <c r="D68" s="91">
        <f>SUM(D61:D67)</f>
        <v>57.5</v>
      </c>
      <c r="E68" s="172"/>
      <c r="F68" s="91">
        <f t="shared" ref="F68" si="23">SUM(F61:F67)</f>
        <v>56.560159863013702</v>
      </c>
      <c r="G68" s="91">
        <f t="shared" ref="G68:J68" si="24">SUM(G61:G67)</f>
        <v>42.625684407305911</v>
      </c>
      <c r="H68" s="91">
        <f t="shared" si="24"/>
        <v>85.312100723305889</v>
      </c>
      <c r="I68" s="91">
        <f t="shared" si="24"/>
        <v>197.21649539988914</v>
      </c>
      <c r="J68" s="91">
        <f t="shared" si="24"/>
        <v>414.92383237408245</v>
      </c>
      <c r="AS68" s="146">
        <v>18.02</v>
      </c>
      <c r="AT68" s="147" t="s">
        <v>279</v>
      </c>
      <c r="AU68" s="147" t="s">
        <v>280</v>
      </c>
      <c r="AV68" s="147" t="s">
        <v>280</v>
      </c>
      <c r="AW68" s="147" t="s">
        <v>288</v>
      </c>
    </row>
    <row r="69" spans="1:49" ht="15.75" thickBot="1" x14ac:dyDescent="0.3">
      <c r="A69" s="86" t="s">
        <v>338</v>
      </c>
      <c r="B69" s="79"/>
      <c r="C69" s="79"/>
      <c r="D69" s="79">
        <f>D68-D59</f>
        <v>-0.1600000000000108</v>
      </c>
      <c r="E69" s="173"/>
      <c r="F69" s="79">
        <f t="shared" ref="F69" si="25">F68-F59</f>
        <v>0</v>
      </c>
      <c r="G69" s="79">
        <f t="shared" ref="G69:J69" si="26">G68-G59</f>
        <v>0</v>
      </c>
      <c r="H69" s="79">
        <f t="shared" si="26"/>
        <v>0</v>
      </c>
      <c r="I69" s="79">
        <f t="shared" si="26"/>
        <v>0</v>
      </c>
      <c r="J69" s="79">
        <f t="shared" si="26"/>
        <v>0</v>
      </c>
      <c r="AS69" s="146">
        <v>18.03</v>
      </c>
      <c r="AT69" s="147" t="s">
        <v>281</v>
      </c>
      <c r="AU69" s="147" t="s">
        <v>282</v>
      </c>
      <c r="AV69" s="147" t="s">
        <v>282</v>
      </c>
      <c r="AW69" s="147" t="s">
        <v>290</v>
      </c>
    </row>
    <row r="70" spans="1:49" ht="15.75" thickBot="1" x14ac:dyDescent="0.3">
      <c r="A70" s="86" t="s">
        <v>339</v>
      </c>
      <c r="B70" s="88"/>
      <c r="C70" s="88"/>
      <c r="D70" s="91">
        <f>D67-D50</f>
        <v>-0.16000000000001968</v>
      </c>
      <c r="E70" s="172"/>
      <c r="F70" s="91">
        <f>F67-F50</f>
        <v>0</v>
      </c>
      <c r="G70" s="91">
        <f>G67-G50</f>
        <v>0</v>
      </c>
      <c r="H70" s="91">
        <f>H67-H50</f>
        <v>0</v>
      </c>
      <c r="I70" s="91">
        <f>I67-I50</f>
        <v>0</v>
      </c>
      <c r="J70" s="91">
        <f>J67-J50</f>
        <v>0</v>
      </c>
      <c r="AS70" s="146">
        <v>18.04</v>
      </c>
      <c r="AT70" s="147" t="s">
        <v>283</v>
      </c>
      <c r="AU70" s="147" t="s">
        <v>284</v>
      </c>
      <c r="AV70" s="147" t="s">
        <v>284</v>
      </c>
      <c r="AW70" s="147" t="s">
        <v>292</v>
      </c>
    </row>
    <row r="71" spans="1:49" ht="15.75" thickBot="1" x14ac:dyDescent="0.3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AS71" s="146">
        <v>18.05</v>
      </c>
      <c r="AT71" s="147" t="s">
        <v>285</v>
      </c>
      <c r="AU71" s="147" t="s">
        <v>286</v>
      </c>
      <c r="AV71" s="147" t="s">
        <v>286</v>
      </c>
      <c r="AW71" s="147" t="s">
        <v>294</v>
      </c>
    </row>
    <row r="72" spans="1:49" ht="15.75" thickBot="1" x14ac:dyDescent="0.3">
      <c r="A72" s="89" t="s">
        <v>76</v>
      </c>
      <c r="B72" s="88"/>
      <c r="C72" s="88"/>
      <c r="D72" s="130" t="s">
        <v>190</v>
      </c>
      <c r="E72" s="170"/>
      <c r="F72" s="118" t="s">
        <v>191</v>
      </c>
      <c r="G72" s="117" t="s">
        <v>192</v>
      </c>
      <c r="H72" s="116" t="s">
        <v>193</v>
      </c>
      <c r="I72" s="115" t="s">
        <v>194</v>
      </c>
      <c r="J72" s="140" t="s">
        <v>254</v>
      </c>
      <c r="AS72" s="146">
        <v>18.059999999999999</v>
      </c>
      <c r="AT72" s="147" t="s">
        <v>287</v>
      </c>
      <c r="AU72" s="147" t="s">
        <v>288</v>
      </c>
      <c r="AV72" s="147" t="s">
        <v>288</v>
      </c>
      <c r="AW72" s="147" t="s">
        <v>296</v>
      </c>
    </row>
    <row r="73" spans="1:49" ht="15.75" thickBot="1" x14ac:dyDescent="0.3">
      <c r="A73" s="88" t="s">
        <v>149</v>
      </c>
      <c r="B73" s="88"/>
      <c r="C73" s="91"/>
      <c r="D73" s="91">
        <f>D64</f>
        <v>0</v>
      </c>
      <c r="E73" s="172"/>
      <c r="F73" s="91">
        <f>F64</f>
        <v>0</v>
      </c>
      <c r="G73" s="91">
        <f>G64</f>
        <v>0</v>
      </c>
      <c r="H73" s="91">
        <f>H64</f>
        <v>0</v>
      </c>
      <c r="I73" s="91">
        <f>I64</f>
        <v>0</v>
      </c>
      <c r="J73" s="91">
        <f>J64</f>
        <v>0</v>
      </c>
      <c r="AS73" s="146">
        <v>18.07</v>
      </c>
      <c r="AT73" s="147" t="s">
        <v>289</v>
      </c>
      <c r="AU73" s="147" t="s">
        <v>290</v>
      </c>
      <c r="AV73" s="147" t="s">
        <v>290</v>
      </c>
      <c r="AW73" s="147" t="s">
        <v>298</v>
      </c>
    </row>
    <row r="74" spans="1:49" ht="15.75" thickBot="1" x14ac:dyDescent="0.3">
      <c r="A74" s="88" t="s">
        <v>157</v>
      </c>
      <c r="B74" s="88"/>
      <c r="C74" s="91"/>
      <c r="D74" s="91">
        <f>+D65</f>
        <v>0</v>
      </c>
      <c r="E74" s="172"/>
      <c r="F74" s="91">
        <f>F14*(1+F82)/365*F80</f>
        <v>4.0914246575342466</v>
      </c>
      <c r="G74" s="91">
        <f>G14*(1+G82)/365*G80</f>
        <v>7.1714589041095884</v>
      </c>
      <c r="H74" s="91">
        <f>H14*(1+H82)/365*H80</f>
        <v>10.668855821917807</v>
      </c>
      <c r="I74" s="91">
        <f>I14*(1+I82)/365*I80</f>
        <v>16.024948921232877</v>
      </c>
      <c r="J74" s="91">
        <f>J14*(1+J82)/365*J80</f>
        <v>23.079595362842465</v>
      </c>
      <c r="AS74" s="146">
        <v>18.079999999999998</v>
      </c>
      <c r="AT74" s="147" t="s">
        <v>291</v>
      </c>
      <c r="AU74" s="147" t="s">
        <v>292</v>
      </c>
      <c r="AV74" s="147" t="s">
        <v>292</v>
      </c>
      <c r="AW74" s="147" t="s">
        <v>300</v>
      </c>
    </row>
    <row r="75" spans="1:49" ht="15.75" thickBot="1" x14ac:dyDescent="0.3">
      <c r="A75" s="88" t="s">
        <v>158</v>
      </c>
      <c r="B75" s="88"/>
      <c r="C75" s="91"/>
      <c r="D75" s="91">
        <v>3</v>
      </c>
      <c r="E75" s="172"/>
      <c r="F75" s="91">
        <f>SUM(F15:F18,F21:F26)*(1+G82)/365*F81</f>
        <v>15.649209863013699</v>
      </c>
      <c r="G75" s="91">
        <f>SUM(G15:G18,G21:G26)*(1+H82)/365*G81</f>
        <v>19.996857073972606</v>
      </c>
      <c r="H75" s="91">
        <f>SUM(H15:H18,H21:H26)*(1+I82)/365*H81</f>
        <v>20.114641009972605</v>
      </c>
      <c r="I75" s="91">
        <f>SUM(I15:I18,I21:I26)*(1+J82)/365*I81</f>
        <v>20.093690702939181</v>
      </c>
      <c r="J75" s="91">
        <f>SUM(J15:J18,J21:J26)*(1+K79)/365*J81</f>
        <v>16.946580154225973</v>
      </c>
      <c r="AS75" s="146">
        <v>18.09</v>
      </c>
      <c r="AT75" s="147" t="s">
        <v>293</v>
      </c>
      <c r="AU75" s="147" t="s">
        <v>294</v>
      </c>
    </row>
    <row r="76" spans="1:49" ht="15.75" thickBot="1" x14ac:dyDescent="0.3">
      <c r="A76" s="88" t="s">
        <v>143</v>
      </c>
      <c r="B76" s="88"/>
      <c r="C76" s="91"/>
      <c r="D76" s="91">
        <v>3.4</v>
      </c>
      <c r="E76" s="172"/>
      <c r="F76" s="91">
        <f>(F19+F20)/3/12*3</f>
        <v>2.3737499999999998</v>
      </c>
      <c r="G76" s="91">
        <f>(G19+G20)/3/12*3</f>
        <v>2.0833333333333335</v>
      </c>
      <c r="H76" s="91">
        <f>(H19+H20)/3/12*3</f>
        <v>3.3333333333333335</v>
      </c>
      <c r="I76" s="91">
        <f>(I19+I20)/3/12*3</f>
        <v>3.4</v>
      </c>
      <c r="J76" s="91">
        <f>(J19+J20)/3/12*3</f>
        <v>3.468</v>
      </c>
      <c r="AS76" s="146">
        <v>18.100000000000001</v>
      </c>
      <c r="AT76" s="147" t="s">
        <v>295</v>
      </c>
      <c r="AU76" s="147" t="s">
        <v>296</v>
      </c>
    </row>
    <row r="77" spans="1:49" ht="15.75" thickBot="1" x14ac:dyDescent="0.3">
      <c r="A77" s="88" t="s">
        <v>76</v>
      </c>
      <c r="B77" s="88"/>
      <c r="C77" s="91"/>
      <c r="D77" s="91">
        <f>D73+D74-D75-D76</f>
        <v>-6.4</v>
      </c>
      <c r="E77" s="172"/>
      <c r="F77" s="91">
        <f t="shared" ref="F77:I77" si="27">F73+F74-F75-F76</f>
        <v>-13.931535205479451</v>
      </c>
      <c r="G77" s="91">
        <f t="shared" si="27"/>
        <v>-14.908731503196352</v>
      </c>
      <c r="H77" s="91">
        <f t="shared" si="27"/>
        <v>-12.779118521388131</v>
      </c>
      <c r="I77" s="91">
        <f t="shared" si="27"/>
        <v>-7.4687417817063046</v>
      </c>
      <c r="J77" s="91">
        <f t="shared" ref="J77" si="28">J73+J74-J75-J76</f>
        <v>2.6650152086164915</v>
      </c>
      <c r="AS77" s="146">
        <v>18.11</v>
      </c>
      <c r="AT77" s="147" t="s">
        <v>297</v>
      </c>
      <c r="AU77" s="147" t="s">
        <v>298</v>
      </c>
    </row>
    <row r="78" spans="1:49" ht="15.75" thickBot="1" x14ac:dyDescent="0.3">
      <c r="A78" s="88" t="s">
        <v>159</v>
      </c>
      <c r="B78" s="88"/>
      <c r="C78" s="91"/>
      <c r="D78" s="91">
        <f>C77-D77</f>
        <v>6.4</v>
      </c>
      <c r="E78" s="172"/>
      <c r="F78" s="91">
        <f>D77-F77</f>
        <v>7.5315352054794502</v>
      </c>
      <c r="G78" s="91">
        <f t="shared" ref="G78:J78" si="29">F77-G77</f>
        <v>0.97719629771690109</v>
      </c>
      <c r="H78" s="91">
        <f t="shared" si="29"/>
        <v>-2.1296129818082203</v>
      </c>
      <c r="I78" s="91">
        <f t="shared" si="29"/>
        <v>-5.3103767396818267</v>
      </c>
      <c r="J78" s="91">
        <f t="shared" si="29"/>
        <v>-10.133756990322796</v>
      </c>
      <c r="AS78" s="146">
        <v>18.12</v>
      </c>
      <c r="AT78" s="147" t="s">
        <v>299</v>
      </c>
      <c r="AU78" s="147" t="s">
        <v>300</v>
      </c>
    </row>
    <row r="79" spans="1:49" ht="15.75" thickBot="1" x14ac:dyDescent="0.3">
      <c r="A79" s="90" t="s">
        <v>160</v>
      </c>
      <c r="B79" s="88"/>
      <c r="C79" s="92"/>
      <c r="D79" s="178" t="s">
        <v>340</v>
      </c>
      <c r="E79" s="172"/>
      <c r="F79" s="92"/>
      <c r="G79" s="92"/>
      <c r="H79" s="92"/>
      <c r="I79" s="92"/>
      <c r="J79" s="92"/>
      <c r="AS79" s="146">
        <v>19.010000000000002</v>
      </c>
      <c r="AT79" s="147" t="s">
        <v>301</v>
      </c>
      <c r="AU79" s="147" t="s">
        <v>302</v>
      </c>
    </row>
    <row r="80" spans="1:49" ht="15.75" thickBot="1" x14ac:dyDescent="0.3">
      <c r="A80" s="62" t="s">
        <v>161</v>
      </c>
      <c r="B80" s="2"/>
      <c r="C80" s="66"/>
      <c r="D80" s="178" t="s">
        <v>340</v>
      </c>
      <c r="E80" s="172"/>
      <c r="F80" s="66">
        <v>15</v>
      </c>
      <c r="G80" s="92">
        <v>15</v>
      </c>
      <c r="H80" s="92">
        <v>15</v>
      </c>
      <c r="I80" s="92">
        <v>15</v>
      </c>
      <c r="J80" s="92">
        <v>15</v>
      </c>
      <c r="AS80" s="146">
        <v>19.02</v>
      </c>
      <c r="AT80" s="147" t="s">
        <v>303</v>
      </c>
      <c r="AU80" s="147" t="s">
        <v>304</v>
      </c>
    </row>
    <row r="81" spans="1:10" x14ac:dyDescent="0.25">
      <c r="A81" s="62" t="s">
        <v>162</v>
      </c>
      <c r="B81" s="2"/>
      <c r="C81" s="66"/>
      <c r="D81" s="178" t="s">
        <v>340</v>
      </c>
      <c r="E81" s="172"/>
      <c r="F81" s="66">
        <v>60</v>
      </c>
      <c r="G81" s="92">
        <v>60</v>
      </c>
      <c r="H81" s="92">
        <v>60</v>
      </c>
      <c r="I81" s="92">
        <v>60</v>
      </c>
      <c r="J81" s="92">
        <v>60</v>
      </c>
    </row>
    <row r="82" spans="1:10" x14ac:dyDescent="0.25">
      <c r="A82" s="62" t="s">
        <v>163</v>
      </c>
      <c r="B82" s="2"/>
      <c r="C82" s="3"/>
      <c r="D82" s="3">
        <v>0.2</v>
      </c>
      <c r="E82" s="177"/>
      <c r="F82" s="3">
        <v>0.2</v>
      </c>
      <c r="G82" s="3">
        <v>0.2</v>
      </c>
      <c r="H82" s="3">
        <v>0.2</v>
      </c>
      <c r="I82" s="3">
        <v>0.2</v>
      </c>
      <c r="J82" s="93">
        <v>0.2</v>
      </c>
    </row>
    <row r="83" spans="1:10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</row>
  </sheetData>
  <mergeCells count="81">
    <mergeCell ref="O63:P65"/>
    <mergeCell ref="O50:P50"/>
    <mergeCell ref="O51:P53"/>
    <mergeCell ref="O57:P57"/>
    <mergeCell ref="O58:P60"/>
    <mergeCell ref="O62:P62"/>
    <mergeCell ref="BL3:BM3"/>
    <mergeCell ref="BQ3:BR3"/>
    <mergeCell ref="BJ5:BL5"/>
    <mergeCell ref="BO5:BQ5"/>
    <mergeCell ref="BJ9:BL9"/>
    <mergeCell ref="BO9:BQ9"/>
    <mergeCell ref="BJ14:BL14"/>
    <mergeCell ref="BJ21:BL21"/>
    <mergeCell ref="BO21:BQ21"/>
    <mergeCell ref="BJ33:BL33"/>
    <mergeCell ref="BO33:BQ33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R46:T46"/>
    <mergeCell ref="P40:Q40"/>
    <mergeCell ref="P41:Q41"/>
    <mergeCell ref="P42:Q42"/>
    <mergeCell ref="P43:Q43"/>
    <mergeCell ref="P44:Q44"/>
    <mergeCell ref="O46:Q4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4" zoomScale="85" zoomScaleNormal="85" workbookViewId="0">
      <selection activeCell="D37" sqref="D37"/>
    </sheetView>
  </sheetViews>
  <sheetFormatPr baseColWidth="10" defaultColWidth="10.85546875" defaultRowHeight="15" x14ac:dyDescent="0.25"/>
  <cols>
    <col min="1" max="1" width="16.7109375" style="15" customWidth="1"/>
    <col min="2" max="2" width="31.85546875" style="15" customWidth="1"/>
    <col min="3" max="3" width="15" style="15" customWidth="1"/>
    <col min="4" max="4" width="25" style="15" customWidth="1"/>
    <col min="5" max="5" width="13.140625" style="15" customWidth="1"/>
    <col min="6" max="8" width="13.5703125" style="15" customWidth="1"/>
    <col min="9" max="16384" width="10.85546875" style="15"/>
  </cols>
  <sheetData>
    <row r="1" spans="1:8" ht="18.95" thickBot="1" x14ac:dyDescent="0.55000000000000004">
      <c r="A1" s="14" t="s">
        <v>11</v>
      </c>
      <c r="B1" s="238" t="s">
        <v>190</v>
      </c>
      <c r="C1" s="239"/>
      <c r="D1" s="118" t="s">
        <v>191</v>
      </c>
      <c r="E1" s="117" t="s">
        <v>192</v>
      </c>
      <c r="F1" s="116" t="s">
        <v>193</v>
      </c>
      <c r="G1" s="115" t="s">
        <v>194</v>
      </c>
      <c r="H1" s="140" t="s">
        <v>254</v>
      </c>
    </row>
    <row r="2" spans="1:8" ht="14.65" x14ac:dyDescent="0.4">
      <c r="A2" s="15" t="s">
        <v>13</v>
      </c>
      <c r="B2" s="16"/>
      <c r="C2" s="17" t="s">
        <v>14</v>
      </c>
      <c r="D2" s="18" t="s">
        <v>14</v>
      </c>
      <c r="E2" s="18" t="s">
        <v>14</v>
      </c>
      <c r="F2" s="18" t="s">
        <v>14</v>
      </c>
      <c r="G2" s="18" t="s">
        <v>14</v>
      </c>
      <c r="H2" s="18" t="s">
        <v>14</v>
      </c>
    </row>
    <row r="3" spans="1:8" ht="14.65" x14ac:dyDescent="0.4">
      <c r="B3" s="19" t="s">
        <v>15</v>
      </c>
      <c r="C3" s="20">
        <v>44893</v>
      </c>
      <c r="D3" s="20">
        <v>44893</v>
      </c>
      <c r="E3" s="20">
        <v>44893</v>
      </c>
      <c r="F3" s="21">
        <f>+E3+($A$5*E3)</f>
        <v>45790.86</v>
      </c>
      <c r="G3" s="21">
        <f>+F3+($A$5*F3)</f>
        <v>46706.677199999998</v>
      </c>
      <c r="H3" s="21">
        <f>+G3+($A$5*G3)</f>
        <v>47640.810743999995</v>
      </c>
    </row>
    <row r="4" spans="1:8" ht="14.65" x14ac:dyDescent="0.4">
      <c r="B4" s="19" t="s">
        <v>16</v>
      </c>
      <c r="C4" s="20">
        <v>1300</v>
      </c>
      <c r="D4" s="21">
        <v>1300</v>
      </c>
      <c r="E4" s="21">
        <v>1300</v>
      </c>
      <c r="F4" s="21">
        <v>1300</v>
      </c>
      <c r="G4" s="21">
        <v>1300</v>
      </c>
      <c r="H4" s="21">
        <v>1300</v>
      </c>
    </row>
    <row r="5" spans="1:8" ht="14.65" x14ac:dyDescent="0.4">
      <c r="A5" s="98">
        <v>0.02</v>
      </c>
      <c r="B5" s="123" t="s">
        <v>17</v>
      </c>
      <c r="C5" s="20">
        <v>5223</v>
      </c>
      <c r="D5" s="21">
        <f>+C5+($A$5*C5)</f>
        <v>5327.46</v>
      </c>
      <c r="E5" s="21">
        <f t="shared" ref="E5:H5" si="0">+D5+($A$5*D5)</f>
        <v>5434.0092000000004</v>
      </c>
      <c r="F5" s="21">
        <f t="shared" si="0"/>
        <v>5542.6893840000002</v>
      </c>
      <c r="G5" s="21">
        <f t="shared" si="0"/>
        <v>5653.5431716800003</v>
      </c>
      <c r="H5" s="21">
        <f t="shared" si="0"/>
        <v>5766.6140351136</v>
      </c>
    </row>
    <row r="6" spans="1:8" ht="14.65" x14ac:dyDescent="0.4">
      <c r="A6" s="96"/>
      <c r="B6" s="123" t="s">
        <v>18</v>
      </c>
      <c r="C6" s="20">
        <v>1824</v>
      </c>
      <c r="D6" s="21">
        <f>+C6+($A$5*C6)</f>
        <v>1860.48</v>
      </c>
      <c r="E6" s="21">
        <f t="shared" ref="E6:H6" si="1">+D6+($A$5*D6)</f>
        <v>1897.6895999999999</v>
      </c>
      <c r="F6" s="21">
        <f t="shared" si="1"/>
        <v>1935.6433919999999</v>
      </c>
      <c r="G6" s="21">
        <f t="shared" si="1"/>
        <v>1974.3562598399999</v>
      </c>
      <c r="H6" s="21">
        <f t="shared" si="1"/>
        <v>2013.8433850367999</v>
      </c>
    </row>
    <row r="7" spans="1:8" x14ac:dyDescent="0.25">
      <c r="B7" s="19" t="s">
        <v>19</v>
      </c>
      <c r="C7" s="20">
        <v>13407.67</v>
      </c>
      <c r="D7" s="20">
        <v>13407.67</v>
      </c>
      <c r="E7" s="20">
        <v>13407.67</v>
      </c>
      <c r="F7" s="20"/>
      <c r="G7" s="20"/>
      <c r="H7" s="20"/>
    </row>
    <row r="8" spans="1:8" x14ac:dyDescent="0.25">
      <c r="B8" s="19" t="s">
        <v>314</v>
      </c>
      <c r="C8" s="71"/>
      <c r="D8" s="72"/>
      <c r="E8" s="20">
        <v>13407.67</v>
      </c>
      <c r="F8" s="20">
        <v>13407.67</v>
      </c>
      <c r="G8" s="20">
        <v>13407.67</v>
      </c>
      <c r="H8" s="20"/>
    </row>
    <row r="9" spans="1:8" ht="14.65" x14ac:dyDescent="0.4">
      <c r="B9" s="70"/>
      <c r="C9" s="71"/>
      <c r="D9" s="72"/>
      <c r="E9" s="72"/>
      <c r="F9" s="72"/>
      <c r="G9" s="72"/>
      <c r="H9" s="72"/>
    </row>
    <row r="10" spans="1:8" thickBot="1" x14ac:dyDescent="0.45">
      <c r="B10" s="22" t="s">
        <v>20</v>
      </c>
      <c r="C10" s="23">
        <f t="shared" ref="C10:H10" si="2">SUM(C3:C9)</f>
        <v>66647.67</v>
      </c>
      <c r="D10" s="24">
        <f t="shared" si="2"/>
        <v>66788.61</v>
      </c>
      <c r="E10" s="24">
        <f t="shared" si="2"/>
        <v>80340.038799999995</v>
      </c>
      <c r="F10" s="24">
        <f t="shared" si="2"/>
        <v>67976.862775999994</v>
      </c>
      <c r="G10" s="24">
        <f t="shared" si="2"/>
        <v>69042.24663152</v>
      </c>
      <c r="H10" s="24">
        <f t="shared" si="2"/>
        <v>56721.268164150395</v>
      </c>
    </row>
    <row r="11" spans="1:8" thickBot="1" x14ac:dyDescent="0.45"/>
    <row r="12" spans="1:8" ht="18.75" x14ac:dyDescent="0.3">
      <c r="B12" s="240" t="s">
        <v>21</v>
      </c>
      <c r="C12" s="241"/>
      <c r="D12" s="240" t="s">
        <v>315</v>
      </c>
      <c r="E12" s="241"/>
    </row>
    <row r="13" spans="1:8" x14ac:dyDescent="0.25">
      <c r="B13" s="19" t="s">
        <v>22</v>
      </c>
      <c r="C13" s="21"/>
      <c r="D13" s="19" t="s">
        <v>22</v>
      </c>
      <c r="E13" s="21"/>
    </row>
    <row r="14" spans="1:8" x14ac:dyDescent="0.25">
      <c r="B14" s="19" t="s">
        <v>23</v>
      </c>
      <c r="C14" s="25">
        <f>C3/4</f>
        <v>11223.25</v>
      </c>
      <c r="D14" s="19" t="s">
        <v>23</v>
      </c>
      <c r="E14" s="25">
        <f>E3/4</f>
        <v>11223.25</v>
      </c>
    </row>
    <row r="15" spans="1:8" x14ac:dyDescent="0.25">
      <c r="B15" s="19" t="s">
        <v>24</v>
      </c>
      <c r="C15" s="21">
        <v>6000</v>
      </c>
      <c r="D15" s="19" t="s">
        <v>24</v>
      </c>
      <c r="E15" s="21">
        <v>6000</v>
      </c>
    </row>
    <row r="16" spans="1:8" ht="14.65" x14ac:dyDescent="0.4">
      <c r="B16" s="19" t="s">
        <v>25</v>
      </c>
      <c r="C16" s="21">
        <v>20000</v>
      </c>
      <c r="D16" s="19" t="s">
        <v>25</v>
      </c>
      <c r="E16" s="21">
        <v>20000</v>
      </c>
    </row>
    <row r="17" spans="1:8" ht="14.65" x14ac:dyDescent="0.4">
      <c r="B17" s="19" t="s">
        <v>26</v>
      </c>
      <c r="C17" s="21">
        <v>3000</v>
      </c>
      <c r="D17" s="19" t="s">
        <v>26</v>
      </c>
      <c r="E17" s="21">
        <v>3000</v>
      </c>
    </row>
    <row r="18" spans="1:8" ht="14.65" x14ac:dyDescent="0.4">
      <c r="B18" s="19"/>
      <c r="C18" s="21"/>
      <c r="D18" s="19"/>
      <c r="E18" s="21"/>
    </row>
    <row r="19" spans="1:8" ht="15.75" thickBot="1" x14ac:dyDescent="0.3">
      <c r="B19" s="22" t="s">
        <v>27</v>
      </c>
      <c r="C19" s="24">
        <f>SUM(C14:C17)</f>
        <v>40223.25</v>
      </c>
      <c r="D19" s="22" t="s">
        <v>27</v>
      </c>
      <c r="E19" s="24">
        <f>SUM(E14:E17)</f>
        <v>40223.25</v>
      </c>
    </row>
    <row r="20" spans="1:8" thickBot="1" x14ac:dyDescent="0.45"/>
    <row r="21" spans="1:8" ht="14.65" x14ac:dyDescent="0.4">
      <c r="A21" s="15" t="s">
        <v>28</v>
      </c>
      <c r="B21" s="16"/>
      <c r="C21" s="17" t="s">
        <v>14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</row>
    <row r="22" spans="1:8" ht="14.65" x14ac:dyDescent="0.4">
      <c r="B22" s="20" t="s">
        <v>183</v>
      </c>
      <c r="C22" s="20">
        <v>12000</v>
      </c>
      <c r="D22" s="20">
        <v>40063</v>
      </c>
      <c r="E22" s="20">
        <v>40063</v>
      </c>
      <c r="F22" s="20">
        <v>84000</v>
      </c>
      <c r="G22" s="20">
        <v>121100</v>
      </c>
      <c r="H22" s="20">
        <v>121100</v>
      </c>
    </row>
    <row r="23" spans="1:8" ht="14.65" x14ac:dyDescent="0.4">
      <c r="B23" s="19" t="s">
        <v>29</v>
      </c>
      <c r="C23" s="20">
        <v>3360</v>
      </c>
      <c r="D23" s="20">
        <v>3360</v>
      </c>
      <c r="E23" s="20">
        <v>3360</v>
      </c>
      <c r="F23" s="20">
        <v>3360</v>
      </c>
      <c r="G23" s="20">
        <v>3360</v>
      </c>
      <c r="H23" s="20">
        <v>3360</v>
      </c>
    </row>
    <row r="24" spans="1:8" ht="14.65" x14ac:dyDescent="0.4">
      <c r="B24" s="19" t="s">
        <v>184</v>
      </c>
      <c r="C24" s="20">
        <v>1086</v>
      </c>
      <c r="D24" s="20">
        <v>1086</v>
      </c>
      <c r="E24" s="20">
        <v>1086</v>
      </c>
      <c r="F24" s="20">
        <v>1086</v>
      </c>
      <c r="G24" s="20">
        <v>1086</v>
      </c>
      <c r="H24" s="20">
        <v>1086</v>
      </c>
    </row>
    <row r="25" spans="1:8" ht="14.65" x14ac:dyDescent="0.4">
      <c r="B25" s="19" t="s">
        <v>30</v>
      </c>
      <c r="C25" s="20">
        <v>500</v>
      </c>
      <c r="D25" s="21">
        <v>360</v>
      </c>
      <c r="E25" s="21">
        <v>360</v>
      </c>
      <c r="F25" s="21">
        <v>360</v>
      </c>
      <c r="G25" s="21">
        <v>360</v>
      </c>
      <c r="H25" s="21">
        <v>360</v>
      </c>
    </row>
    <row r="26" spans="1:8" x14ac:dyDescent="0.25">
      <c r="B26" s="19" t="s">
        <v>31</v>
      </c>
      <c r="C26" s="20">
        <v>3600</v>
      </c>
      <c r="D26" s="21">
        <v>3600</v>
      </c>
      <c r="E26" s="21">
        <v>3600</v>
      </c>
      <c r="F26" s="21">
        <v>3600</v>
      </c>
      <c r="G26" s="21">
        <v>3600</v>
      </c>
      <c r="H26" s="21">
        <v>3600</v>
      </c>
    </row>
    <row r="27" spans="1:8" ht="14.65" x14ac:dyDescent="0.4">
      <c r="B27" s="19" t="s">
        <v>32</v>
      </c>
      <c r="C27" s="26">
        <f t="shared" ref="C27:H27" si="3">+SUM(C22:C26)</f>
        <v>20546</v>
      </c>
      <c r="D27" s="26">
        <f t="shared" si="3"/>
        <v>48469</v>
      </c>
      <c r="E27" s="26">
        <f t="shared" si="3"/>
        <v>48469</v>
      </c>
      <c r="F27" s="26">
        <f t="shared" si="3"/>
        <v>92406</v>
      </c>
      <c r="G27" s="26">
        <f t="shared" si="3"/>
        <v>129506</v>
      </c>
      <c r="H27" s="26">
        <f t="shared" si="3"/>
        <v>129506</v>
      </c>
    </row>
    <row r="28" spans="1:8" ht="14.65" x14ac:dyDescent="0.4">
      <c r="B28" s="19"/>
      <c r="C28" s="20"/>
      <c r="D28" s="21"/>
      <c r="E28" s="21"/>
      <c r="F28" s="21"/>
      <c r="G28" s="21"/>
      <c r="H28" s="21"/>
    </row>
    <row r="29" spans="1:8" thickBot="1" x14ac:dyDescent="0.45">
      <c r="B29" s="22" t="s">
        <v>33</v>
      </c>
      <c r="C29" s="23">
        <f>C10+C27</f>
        <v>87193.67</v>
      </c>
      <c r="D29" s="24">
        <f>D10+D27</f>
        <v>115257.61</v>
      </c>
      <c r="E29" s="24">
        <f>E10+E27+E19</f>
        <v>169032.28879999998</v>
      </c>
      <c r="F29" s="24">
        <f>F10+F27</f>
        <v>160382.86277599999</v>
      </c>
      <c r="G29" s="24">
        <f t="shared" ref="G29:H29" si="4">G10+G27</f>
        <v>198548.24663151999</v>
      </c>
      <c r="H29" s="24">
        <f t="shared" si="4"/>
        <v>186227.26816415039</v>
      </c>
    </row>
    <row r="30" spans="1:8" thickBot="1" x14ac:dyDescent="0.45"/>
    <row r="31" spans="1:8" x14ac:dyDescent="0.25">
      <c r="A31" s="15" t="s">
        <v>34</v>
      </c>
      <c r="B31" s="16" t="s">
        <v>12</v>
      </c>
      <c r="C31" s="17" t="s">
        <v>14</v>
      </c>
      <c r="D31" s="18" t="s">
        <v>14</v>
      </c>
      <c r="E31" s="18" t="s">
        <v>14</v>
      </c>
      <c r="F31" s="18" t="s">
        <v>14</v>
      </c>
      <c r="G31" s="18" t="s">
        <v>14</v>
      </c>
      <c r="H31" s="18" t="s">
        <v>14</v>
      </c>
    </row>
    <row r="32" spans="1:8" ht="14.65" x14ac:dyDescent="0.4">
      <c r="A32" s="15" t="s">
        <v>229</v>
      </c>
      <c r="B32" s="19" t="s">
        <v>35</v>
      </c>
      <c r="C32" s="20">
        <v>8</v>
      </c>
      <c r="D32" s="20">
        <v>8</v>
      </c>
      <c r="E32" s="20">
        <v>13</v>
      </c>
      <c r="F32" s="20">
        <v>13</v>
      </c>
      <c r="G32" s="20">
        <v>13</v>
      </c>
      <c r="H32" s="20">
        <v>13</v>
      </c>
    </row>
    <row r="33" spans="1:8" ht="14.65" x14ac:dyDescent="0.4">
      <c r="A33" s="15" t="s">
        <v>234</v>
      </c>
      <c r="B33" s="19" t="s">
        <v>36</v>
      </c>
      <c r="C33" s="27">
        <v>17</v>
      </c>
      <c r="D33" s="25">
        <v>17</v>
      </c>
      <c r="E33" s="25">
        <v>17</v>
      </c>
      <c r="F33" s="25">
        <v>17</v>
      </c>
      <c r="G33" s="25">
        <v>17</v>
      </c>
      <c r="H33" s="25">
        <v>17</v>
      </c>
    </row>
    <row r="34" spans="1:8" ht="14.65" x14ac:dyDescent="0.4">
      <c r="B34" s="19" t="s">
        <v>37</v>
      </c>
      <c r="C34" s="27">
        <v>15</v>
      </c>
      <c r="D34" s="25">
        <v>15</v>
      </c>
      <c r="E34" s="25">
        <v>15</v>
      </c>
      <c r="F34" s="25">
        <v>15</v>
      </c>
      <c r="G34" s="25">
        <v>15</v>
      </c>
      <c r="H34" s="25">
        <v>15</v>
      </c>
    </row>
    <row r="35" spans="1:8" ht="14.65" x14ac:dyDescent="0.4">
      <c r="B35" s="19" t="s">
        <v>38</v>
      </c>
      <c r="C35" s="27">
        <v>65</v>
      </c>
      <c r="D35" s="25">
        <v>65</v>
      </c>
      <c r="E35" s="25">
        <v>65</v>
      </c>
      <c r="F35" s="25">
        <v>65</v>
      </c>
      <c r="G35" s="25">
        <v>65</v>
      </c>
      <c r="H35" s="25">
        <v>65</v>
      </c>
    </row>
    <row r="36" spans="1:8" ht="14.65" x14ac:dyDescent="0.4">
      <c r="B36" s="19" t="s">
        <v>39</v>
      </c>
      <c r="C36" s="20">
        <f>0.01*(C35*C33+(100-65)*C34)</f>
        <v>16.3</v>
      </c>
      <c r="D36" s="21">
        <f>0.01*(D35*D33+(100-65)*D34)</f>
        <v>16.3</v>
      </c>
      <c r="E36" s="21">
        <f>0.01*(E35*E33+(100-65)*E34)</f>
        <v>16.3</v>
      </c>
      <c r="F36" s="21">
        <f>0.01*(F35*F33+(100-65)*F34)</f>
        <v>16.3</v>
      </c>
      <c r="G36" s="21">
        <f t="shared" ref="G36:H36" si="5">0.01*(G35*G33+(100-65)*G34)</f>
        <v>16.3</v>
      </c>
      <c r="H36" s="21">
        <f t="shared" si="5"/>
        <v>16.3</v>
      </c>
    </row>
    <row r="37" spans="1:8" x14ac:dyDescent="0.25">
      <c r="B37" s="19" t="s">
        <v>40</v>
      </c>
      <c r="C37" s="27">
        <v>0.8</v>
      </c>
      <c r="D37" s="25">
        <v>3.2</v>
      </c>
      <c r="E37" s="25">
        <v>5.73</v>
      </c>
      <c r="F37" s="25">
        <v>9.2100000000000009</v>
      </c>
      <c r="G37" s="25">
        <v>13.45</v>
      </c>
      <c r="H37" s="25">
        <v>13.25</v>
      </c>
    </row>
    <row r="38" spans="1:8" x14ac:dyDescent="0.25">
      <c r="B38" s="19" t="s">
        <v>41</v>
      </c>
      <c r="C38" s="27">
        <v>4</v>
      </c>
      <c r="D38" s="25">
        <v>5</v>
      </c>
      <c r="E38" s="25">
        <v>5</v>
      </c>
      <c r="F38" s="25">
        <v>5</v>
      </c>
      <c r="G38" s="25">
        <v>5</v>
      </c>
      <c r="H38" s="25">
        <v>5</v>
      </c>
    </row>
    <row r="39" spans="1:8" x14ac:dyDescent="0.25">
      <c r="B39" s="19" t="s">
        <v>42</v>
      </c>
      <c r="C39" s="27">
        <v>48</v>
      </c>
      <c r="D39" s="25">
        <v>48</v>
      </c>
      <c r="E39" s="25">
        <v>48</v>
      </c>
      <c r="F39" s="25">
        <v>48</v>
      </c>
      <c r="G39" s="25">
        <v>48</v>
      </c>
      <c r="H39" s="25">
        <v>48</v>
      </c>
    </row>
    <row r="40" spans="1:8" ht="15.75" thickBot="1" x14ac:dyDescent="0.3">
      <c r="B40" s="22" t="s">
        <v>43</v>
      </c>
      <c r="C40" s="23">
        <f>C32*C36*C37*C38*C39</f>
        <v>20029.440000000002</v>
      </c>
      <c r="D40" s="24">
        <f>D32*D36*D37*D38*D39</f>
        <v>100147.20000000001</v>
      </c>
      <c r="E40" s="24">
        <f>E32*E36*E37*E38*E39</f>
        <v>291404.88</v>
      </c>
      <c r="F40" s="24">
        <f>F32*F36*F37*F38*F39</f>
        <v>468383.76</v>
      </c>
      <c r="G40" s="24">
        <f t="shared" ref="G40:H40" si="6">G32*G36*G37*G38*G39</f>
        <v>684013.2</v>
      </c>
      <c r="H40" s="24">
        <f t="shared" si="6"/>
        <v>673842</v>
      </c>
    </row>
    <row r="41" spans="1:8" x14ac:dyDescent="0.25">
      <c r="A41"/>
      <c r="B41"/>
      <c r="C41"/>
      <c r="D41"/>
      <c r="E41"/>
      <c r="F41"/>
      <c r="G41"/>
      <c r="H41"/>
    </row>
    <row r="42" spans="1:8" customFormat="1" x14ac:dyDescent="0.25"/>
    <row r="43" spans="1:8" x14ac:dyDescent="0.25">
      <c r="A43" s="15" t="s">
        <v>230</v>
      </c>
      <c r="B43" s="19" t="s">
        <v>231</v>
      </c>
      <c r="C43" s="125">
        <v>101796</v>
      </c>
      <c r="D43" s="125">
        <v>101796</v>
      </c>
      <c r="E43" s="125">
        <v>101796</v>
      </c>
      <c r="F43" s="125">
        <v>101796</v>
      </c>
      <c r="G43" s="125">
        <v>101796</v>
      </c>
      <c r="H43" s="125">
        <v>101796</v>
      </c>
    </row>
    <row r="44" spans="1:8" x14ac:dyDescent="0.25">
      <c r="B44" s="19" t="s">
        <v>232</v>
      </c>
      <c r="C44" s="124">
        <v>0</v>
      </c>
      <c r="D44" s="124">
        <v>0.17</v>
      </c>
      <c r="E44" s="124">
        <v>0.4</v>
      </c>
      <c r="F44" s="124">
        <v>0.6</v>
      </c>
      <c r="G44" s="124">
        <v>0.9</v>
      </c>
      <c r="H44" s="124">
        <v>0.9</v>
      </c>
    </row>
    <row r="45" spans="1:8" ht="15.75" thickBot="1" x14ac:dyDescent="0.3">
      <c r="B45" s="22" t="s">
        <v>44</v>
      </c>
      <c r="C45" s="23">
        <f>+C43*C44</f>
        <v>0</v>
      </c>
      <c r="D45" s="23">
        <f t="shared" ref="D45:G45" si="7">+D43*D44</f>
        <v>17305.32</v>
      </c>
      <c r="E45" s="23">
        <f t="shared" si="7"/>
        <v>40718.400000000001</v>
      </c>
      <c r="F45" s="23">
        <f t="shared" si="7"/>
        <v>61077.599999999999</v>
      </c>
      <c r="G45" s="23">
        <f t="shared" si="7"/>
        <v>91616.400000000009</v>
      </c>
      <c r="H45" s="23">
        <f t="shared" ref="H45" si="8">+H43*H44</f>
        <v>91616.400000000009</v>
      </c>
    </row>
    <row r="46" spans="1:8" ht="15.75" thickBot="1" x14ac:dyDescent="0.3"/>
    <row r="47" spans="1:8" ht="18.75" x14ac:dyDescent="0.25">
      <c r="A47" s="28" t="s">
        <v>45</v>
      </c>
      <c r="B47" s="29" t="s">
        <v>12</v>
      </c>
      <c r="C47" s="30"/>
      <c r="D47" s="31"/>
      <c r="E47" s="31"/>
      <c r="F47" s="31"/>
      <c r="G47" s="31"/>
      <c r="H47" s="31"/>
    </row>
    <row r="48" spans="1:8" x14ac:dyDescent="0.25">
      <c r="B48" s="19" t="s">
        <v>46</v>
      </c>
      <c r="C48" s="32">
        <f>C29</f>
        <v>87193.67</v>
      </c>
      <c r="D48" s="33">
        <f>C29</f>
        <v>87193.67</v>
      </c>
      <c r="E48" s="33">
        <f>D29</f>
        <v>115257.61</v>
      </c>
      <c r="F48" s="33">
        <f>E29</f>
        <v>169032.28879999998</v>
      </c>
      <c r="G48" s="33">
        <f>+F48</f>
        <v>169032.28879999998</v>
      </c>
      <c r="H48" s="33">
        <f>+G48</f>
        <v>169032.28879999998</v>
      </c>
    </row>
    <row r="49" spans="1:8" x14ac:dyDescent="0.25">
      <c r="B49" s="19" t="s">
        <v>47</v>
      </c>
      <c r="C49" s="20">
        <f t="shared" ref="C49:H49" si="9">C40+C45</f>
        <v>20029.440000000002</v>
      </c>
      <c r="D49" s="21">
        <f t="shared" si="9"/>
        <v>117452.52000000002</v>
      </c>
      <c r="E49" s="21">
        <f t="shared" si="9"/>
        <v>332123.28000000003</v>
      </c>
      <c r="F49" s="21">
        <f t="shared" si="9"/>
        <v>529461.36</v>
      </c>
      <c r="G49" s="21">
        <f t="shared" si="9"/>
        <v>775629.6</v>
      </c>
      <c r="H49" s="21">
        <f t="shared" si="9"/>
        <v>765458.4</v>
      </c>
    </row>
    <row r="50" spans="1:8" ht="15.75" thickBot="1" x14ac:dyDescent="0.3">
      <c r="B50" s="22" t="s">
        <v>48</v>
      </c>
      <c r="C50" s="34">
        <f>C49-C48</f>
        <v>-67164.23</v>
      </c>
      <c r="D50" s="35">
        <f>D49-D48</f>
        <v>30258.85000000002</v>
      </c>
      <c r="E50" s="35">
        <f>E49-E48</f>
        <v>216865.67000000004</v>
      </c>
      <c r="F50" s="35">
        <f>F49-F48</f>
        <v>360429.07120000001</v>
      </c>
      <c r="G50" s="35">
        <f t="shared" ref="G50:H50" si="10">G49-G48</f>
        <v>606597.3112</v>
      </c>
      <c r="H50" s="35">
        <f t="shared" si="10"/>
        <v>596426.11120000004</v>
      </c>
    </row>
    <row r="51" spans="1:8" ht="15.75" thickBot="1" x14ac:dyDescent="0.3"/>
    <row r="52" spans="1:8" x14ac:dyDescent="0.25">
      <c r="A52" s="28" t="s">
        <v>49</v>
      </c>
      <c r="B52" s="36" t="s">
        <v>50</v>
      </c>
      <c r="C52" s="17" t="s">
        <v>51</v>
      </c>
      <c r="D52" s="18" t="s">
        <v>52</v>
      </c>
    </row>
    <row r="53" spans="1:8" x14ac:dyDescent="0.25">
      <c r="B53" s="19">
        <v>1</v>
      </c>
      <c r="C53" s="37">
        <f>C50</f>
        <v>-67164.23</v>
      </c>
      <c r="D53" s="38">
        <f>C53/B53</f>
        <v>-67164.23</v>
      </c>
    </row>
    <row r="54" spans="1:8" x14ac:dyDescent="0.25">
      <c r="B54" s="19">
        <v>2</v>
      </c>
      <c r="C54" s="37">
        <f>D50+C53</f>
        <v>-36905.379999999976</v>
      </c>
      <c r="D54" s="38">
        <f t="shared" ref="D54:D57" si="11">C54/B54</f>
        <v>-18452.689999999988</v>
      </c>
    </row>
    <row r="55" spans="1:8" x14ac:dyDescent="0.25">
      <c r="B55" s="19">
        <v>3</v>
      </c>
      <c r="C55" s="37">
        <f>C54+$D$50</f>
        <v>-6646.5299999999552</v>
      </c>
      <c r="D55" s="38">
        <f t="shared" si="11"/>
        <v>-2215.5099999999852</v>
      </c>
    </row>
    <row r="56" spans="1:8" x14ac:dyDescent="0.25">
      <c r="B56" s="19">
        <v>4</v>
      </c>
      <c r="C56" s="37">
        <f>C55+$D$50</f>
        <v>23612.320000000065</v>
      </c>
      <c r="D56" s="38">
        <f t="shared" si="11"/>
        <v>5903.0800000000163</v>
      </c>
    </row>
    <row r="57" spans="1:8" ht="15.75" thickBot="1" x14ac:dyDescent="0.3">
      <c r="B57" s="22">
        <v>5</v>
      </c>
      <c r="C57" s="39">
        <f>C56+$D$50</f>
        <v>53871.170000000086</v>
      </c>
      <c r="D57" s="40">
        <f t="shared" si="11"/>
        <v>10774.234000000017</v>
      </c>
    </row>
  </sheetData>
  <mergeCells count="3">
    <mergeCell ref="B1:C1"/>
    <mergeCell ref="B12:C12"/>
    <mergeCell ref="D12:E12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 r:id="rId1"/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41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8" t="s">
        <v>53</v>
      </c>
    </row>
    <row r="3" spans="1:2" x14ac:dyDescent="0.25">
      <c r="B3" s="8" t="s">
        <v>54</v>
      </c>
    </row>
    <row r="4" spans="1:2" x14ac:dyDescent="0.25">
      <c r="A4" s="41">
        <v>7265</v>
      </c>
      <c r="B4" s="42" t="s">
        <v>55</v>
      </c>
    </row>
    <row r="5" spans="1:2" x14ac:dyDescent="0.25">
      <c r="A5" s="41"/>
      <c r="B5" s="43" t="s">
        <v>56</v>
      </c>
    </row>
    <row r="6" spans="1:2" ht="14.65" x14ac:dyDescent="0.4">
      <c r="A6" s="6">
        <f>89+58</f>
        <v>147</v>
      </c>
      <c r="B6" t="s">
        <v>57</v>
      </c>
    </row>
    <row r="7" spans="1:2" ht="14.65" x14ac:dyDescent="0.4">
      <c r="A7" s="6">
        <v>278</v>
      </c>
      <c r="B7" t="s">
        <v>58</v>
      </c>
    </row>
    <row r="8" spans="1:2" x14ac:dyDescent="0.25">
      <c r="A8" s="6">
        <v>1336</v>
      </c>
      <c r="B8" t="s">
        <v>59</v>
      </c>
    </row>
    <row r="9" spans="1:2" ht="14.65" x14ac:dyDescent="0.4">
      <c r="A9" s="6">
        <v>3720</v>
      </c>
      <c r="B9" t="s">
        <v>60</v>
      </c>
    </row>
    <row r="10" spans="1:2" x14ac:dyDescent="0.25">
      <c r="A10" s="6">
        <f>520+600+900</f>
        <v>2020</v>
      </c>
      <c r="B10" t="s">
        <v>61</v>
      </c>
    </row>
    <row r="12" spans="1:2" x14ac:dyDescent="0.25">
      <c r="B12" s="8" t="s">
        <v>62</v>
      </c>
    </row>
    <row r="13" spans="1:2" ht="14.65" x14ac:dyDescent="0.4">
      <c r="B13" s="8" t="s">
        <v>63</v>
      </c>
    </row>
    <row r="14" spans="1:2" x14ac:dyDescent="0.25">
      <c r="A14" s="5">
        <v>8055</v>
      </c>
      <c r="B14" t="s">
        <v>64</v>
      </c>
    </row>
    <row r="15" spans="1:2" x14ac:dyDescent="0.25">
      <c r="A15" s="5">
        <v>6444</v>
      </c>
      <c r="B15" t="s">
        <v>65</v>
      </c>
    </row>
    <row r="16" spans="1:2" x14ac:dyDescent="0.25">
      <c r="A16" s="6">
        <v>32220</v>
      </c>
      <c r="B16" t="s">
        <v>66</v>
      </c>
    </row>
    <row r="17" spans="1:2" x14ac:dyDescent="0.25">
      <c r="A17" s="6">
        <v>5200</v>
      </c>
      <c r="B17" t="s">
        <v>67</v>
      </c>
    </row>
    <row r="18" spans="1:2" x14ac:dyDescent="0.25">
      <c r="A18" s="6">
        <v>5223</v>
      </c>
      <c r="B18" t="s">
        <v>68</v>
      </c>
    </row>
    <row r="19" spans="1:2" ht="14.65" x14ac:dyDescent="0.4">
      <c r="A19" s="6">
        <v>1824</v>
      </c>
      <c r="B19" t="s">
        <v>69</v>
      </c>
    </row>
    <row r="21" spans="1:2" ht="14.65" x14ac:dyDescent="0.4">
      <c r="B21" s="8" t="s">
        <v>70</v>
      </c>
    </row>
    <row r="22" spans="1:2" x14ac:dyDescent="0.25">
      <c r="A22" s="6">
        <v>5000</v>
      </c>
      <c r="B22" t="s">
        <v>71</v>
      </c>
    </row>
    <row r="24" spans="1:2" x14ac:dyDescent="0.25">
      <c r="B24" s="8" t="s">
        <v>72</v>
      </c>
    </row>
    <row r="25" spans="1:2" ht="14.65" x14ac:dyDescent="0.4">
      <c r="A25" s="5">
        <v>1900</v>
      </c>
      <c r="B25" t="s">
        <v>73</v>
      </c>
    </row>
    <row r="26" spans="1:2" x14ac:dyDescent="0.25">
      <c r="A26" s="44">
        <v>20000</v>
      </c>
      <c r="B26" t="s">
        <v>74</v>
      </c>
    </row>
    <row r="28" spans="1:2" ht="14.65" x14ac:dyDescent="0.4">
      <c r="A28" s="5">
        <v>428</v>
      </c>
      <c r="B28" t="s">
        <v>75</v>
      </c>
    </row>
    <row r="29" spans="1:2" ht="14.65" x14ac:dyDescent="0.4">
      <c r="A29" s="41">
        <f>SUM(A6:A28)</f>
        <v>93795</v>
      </c>
      <c r="B29" t="s">
        <v>76</v>
      </c>
    </row>
    <row r="30" spans="1:2" ht="14.65" x14ac:dyDescent="0.4">
      <c r="B30" s="8" t="s">
        <v>77</v>
      </c>
    </row>
    <row r="31" spans="1:2" x14ac:dyDescent="0.25">
      <c r="A31" s="45">
        <v>250000</v>
      </c>
      <c r="B31" t="s">
        <v>78</v>
      </c>
    </row>
    <row r="32" spans="1:2" ht="14.65" x14ac:dyDescent="0.4">
      <c r="A32" s="7">
        <v>40000</v>
      </c>
      <c r="B32" t="s">
        <v>79</v>
      </c>
    </row>
    <row r="33" spans="1:6" x14ac:dyDescent="0.25">
      <c r="A33" s="45">
        <v>20000</v>
      </c>
      <c r="B33" t="s">
        <v>80</v>
      </c>
    </row>
    <row r="34" spans="1:6" ht="14.65" x14ac:dyDescent="0.4">
      <c r="A34" s="45">
        <v>60000</v>
      </c>
      <c r="B34" t="s">
        <v>81</v>
      </c>
    </row>
    <row r="35" spans="1:6" x14ac:dyDescent="0.25">
      <c r="A35" s="45">
        <v>20000</v>
      </c>
      <c r="B35" t="s">
        <v>82</v>
      </c>
    </row>
    <row r="36" spans="1:6" x14ac:dyDescent="0.25">
      <c r="A36" s="45">
        <v>10000</v>
      </c>
      <c r="B36" t="s">
        <v>83</v>
      </c>
    </row>
    <row r="37" spans="1:6" x14ac:dyDescent="0.25">
      <c r="A37" s="45">
        <v>10000</v>
      </c>
      <c r="B37" t="s">
        <v>84</v>
      </c>
    </row>
    <row r="38" spans="1:6" x14ac:dyDescent="0.25">
      <c r="A38" s="45">
        <v>5000</v>
      </c>
      <c r="B38" t="s">
        <v>85</v>
      </c>
    </row>
    <row r="39" spans="1:6" x14ac:dyDescent="0.25">
      <c r="A39" s="46">
        <f>SUM(A31:A38)</f>
        <v>415000</v>
      </c>
      <c r="B39" s="8" t="s">
        <v>86</v>
      </c>
    </row>
    <row r="41" spans="1:6" x14ac:dyDescent="0.25">
      <c r="A41" s="47">
        <f>A29-14499</f>
        <v>79296</v>
      </c>
      <c r="B41" t="s">
        <v>87</v>
      </c>
      <c r="C41" s="41">
        <f>8055+6444</f>
        <v>14499</v>
      </c>
      <c r="D41" t="s">
        <v>88</v>
      </c>
    </row>
    <row r="43" spans="1:6" ht="14.65" x14ac:dyDescent="0.4">
      <c r="B43" s="8" t="s">
        <v>89</v>
      </c>
      <c r="C43" s="8"/>
      <c r="D43" s="8"/>
      <c r="E43" s="8"/>
      <c r="F43" s="8"/>
    </row>
    <row r="44" spans="1:6" x14ac:dyDescent="0.25">
      <c r="B44" s="8" t="s">
        <v>90</v>
      </c>
      <c r="C44" s="8"/>
      <c r="D44" s="8"/>
      <c r="E44" s="8"/>
      <c r="F44" s="8"/>
    </row>
    <row r="45" spans="1:6" x14ac:dyDescent="0.25">
      <c r="B45" s="8" t="s">
        <v>91</v>
      </c>
      <c r="C45" s="8"/>
      <c r="D45" s="8"/>
      <c r="E45" s="8"/>
      <c r="F45" s="8"/>
    </row>
    <row r="46" spans="1:6" x14ac:dyDescent="0.25">
      <c r="B46" s="8" t="s">
        <v>92</v>
      </c>
    </row>
    <row r="48" spans="1:6" x14ac:dyDescent="0.25">
      <c r="A48" s="61">
        <v>80000</v>
      </c>
      <c r="B48" s="8" t="s">
        <v>122</v>
      </c>
    </row>
    <row r="50" spans="1:2" x14ac:dyDescent="0.25">
      <c r="A50" s="1"/>
      <c r="B50" s="8" t="s">
        <v>93</v>
      </c>
    </row>
    <row r="52" spans="1:2" ht="14.65" x14ac:dyDescent="0.4">
      <c r="B52" s="8" t="s">
        <v>94</v>
      </c>
    </row>
    <row r="53" spans="1:2" x14ac:dyDescent="0.25">
      <c r="B53" s="48" t="s">
        <v>95</v>
      </c>
    </row>
    <row r="54" spans="1:2" x14ac:dyDescent="0.25">
      <c r="B54" s="49" t="s">
        <v>96</v>
      </c>
    </row>
    <row r="55" spans="1:2" x14ac:dyDescent="0.25">
      <c r="B55" s="49" t="s">
        <v>97</v>
      </c>
    </row>
    <row r="56" spans="1:2" x14ac:dyDescent="0.25">
      <c r="B56" s="49" t="s">
        <v>98</v>
      </c>
    </row>
    <row r="57" spans="1:2" x14ac:dyDescent="0.25">
      <c r="B57" s="49" t="s">
        <v>99</v>
      </c>
    </row>
    <row r="58" spans="1:2" x14ac:dyDescent="0.25">
      <c r="B58" s="49" t="s">
        <v>100</v>
      </c>
    </row>
    <row r="59" spans="1:2" x14ac:dyDescent="0.25">
      <c r="B59" s="49" t="s">
        <v>101</v>
      </c>
    </row>
    <row r="61" spans="1:2" x14ac:dyDescent="0.25">
      <c r="B61" s="48" t="s">
        <v>102</v>
      </c>
    </row>
    <row r="62" spans="1:2" x14ac:dyDescent="0.25">
      <c r="B62" s="50" t="s">
        <v>103</v>
      </c>
    </row>
    <row r="63" spans="1:2" x14ac:dyDescent="0.25">
      <c r="B63" s="50" t="s">
        <v>104</v>
      </c>
    </row>
    <row r="64" spans="1:2" x14ac:dyDescent="0.25">
      <c r="B64" s="50" t="s">
        <v>105</v>
      </c>
    </row>
    <row r="65" spans="1:5" ht="21.75" customHeight="1" x14ac:dyDescent="0.25">
      <c r="A65" s="51"/>
      <c r="B65" s="52" t="s">
        <v>106</v>
      </c>
      <c r="C65" s="53" t="s">
        <v>107</v>
      </c>
    </row>
    <row r="66" spans="1:5" ht="18.75" customHeight="1" x14ac:dyDescent="0.25">
      <c r="A66" s="51"/>
      <c r="B66" s="54" t="s">
        <v>108</v>
      </c>
      <c r="C66" s="55" t="s">
        <v>109</v>
      </c>
      <c r="E66" s="56" t="s">
        <v>110</v>
      </c>
    </row>
    <row r="67" spans="1:5" ht="16.5" customHeight="1" x14ac:dyDescent="0.25">
      <c r="A67" s="51"/>
      <c r="B67" s="57" t="s">
        <v>111</v>
      </c>
      <c r="C67" s="58" t="s">
        <v>112</v>
      </c>
    </row>
    <row r="68" spans="1:5" ht="15.75" customHeight="1" x14ac:dyDescent="0.25">
      <c r="A68" s="51"/>
      <c r="B68" s="54" t="s">
        <v>113</v>
      </c>
      <c r="C68" s="55" t="s">
        <v>114</v>
      </c>
    </row>
    <row r="69" spans="1:5" ht="18.75" customHeight="1" x14ac:dyDescent="0.25">
      <c r="A69" s="51"/>
      <c r="B69" s="57" t="s">
        <v>115</v>
      </c>
      <c r="C69" s="58" t="s">
        <v>116</v>
      </c>
    </row>
    <row r="70" spans="1:5" ht="17.25" customHeight="1" x14ac:dyDescent="0.25">
      <c r="A70" s="51"/>
      <c r="B70" s="54" t="s">
        <v>117</v>
      </c>
      <c r="C70" s="55" t="s">
        <v>118</v>
      </c>
    </row>
    <row r="71" spans="1:5" ht="18" customHeight="1" x14ac:dyDescent="0.25">
      <c r="A71" s="51"/>
      <c r="B71" s="59" t="s">
        <v>119</v>
      </c>
      <c r="C71" s="60" t="s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abSelected="1" topLeftCell="A24" workbookViewId="0">
      <selection activeCell="A46" sqref="A46"/>
    </sheetView>
  </sheetViews>
  <sheetFormatPr baseColWidth="10" defaultColWidth="8.28515625" defaultRowHeight="15" x14ac:dyDescent="0.25"/>
  <cols>
    <col min="1" max="1" width="21.28515625" customWidth="1"/>
    <col min="3" max="6" width="11" customWidth="1"/>
    <col min="7" max="7" width="11.7109375" customWidth="1"/>
    <col min="10" max="10" width="20.7109375" customWidth="1"/>
    <col min="11" max="11" width="18.42578125" customWidth="1"/>
    <col min="12" max="12" width="12.85546875" customWidth="1"/>
    <col min="14" max="14" width="10.42578125" customWidth="1"/>
    <col min="16" max="16" width="7" customWidth="1"/>
    <col min="17" max="17" width="13.7109375" customWidth="1"/>
    <col min="19" max="19" width="9.28515625" customWidth="1"/>
    <col min="21" max="21" width="12.28515625" customWidth="1"/>
    <col min="23" max="23" width="10.42578125" customWidth="1"/>
    <col min="25" max="25" width="12.85546875" customWidth="1"/>
    <col min="27" max="27" width="13.42578125" customWidth="1"/>
    <col min="29" max="29" width="12.5703125" customWidth="1"/>
    <col min="31" max="31" width="10.5703125" customWidth="1"/>
  </cols>
  <sheetData>
    <row r="1" spans="1:1" ht="14.65" x14ac:dyDescent="0.4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" ht="14.65" x14ac:dyDescent="0.4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" ht="14.65" x14ac:dyDescent="0.4">
      <c r="A4" t="s">
        <v>175</v>
      </c>
    </row>
    <row r="20" spans="1:31" x14ac:dyDescent="0.25">
      <c r="A20" s="8" t="s">
        <v>176</v>
      </c>
    </row>
    <row r="21" spans="1:31" x14ac:dyDescent="0.25">
      <c r="A21" s="243" t="s">
        <v>181</v>
      </c>
      <c r="B21" s="2"/>
      <c r="C21" s="130" t="s">
        <v>190</v>
      </c>
      <c r="D21" s="118" t="s">
        <v>191</v>
      </c>
      <c r="E21" s="117" t="s">
        <v>192</v>
      </c>
      <c r="F21" s="116" t="s">
        <v>193</v>
      </c>
      <c r="G21" s="115" t="s">
        <v>194</v>
      </c>
    </row>
    <row r="22" spans="1:31" x14ac:dyDescent="0.25">
      <c r="A22" s="244"/>
      <c r="B22" s="2"/>
      <c r="C22" s="11" t="s">
        <v>9</v>
      </c>
      <c r="D22" s="10"/>
      <c r="E22" s="10"/>
      <c r="F22" s="10"/>
      <c r="G22" s="10"/>
    </row>
    <row r="23" spans="1:31" x14ac:dyDescent="0.25">
      <c r="A23" s="9" t="s">
        <v>189</v>
      </c>
      <c r="B23" s="3">
        <v>0.85</v>
      </c>
      <c r="C23" s="91">
        <f>+'BP Sophrokhepri'!D6</f>
        <v>8.1999999999999993</v>
      </c>
      <c r="D23" s="91">
        <f>+'BP Sophrokhepri'!F6</f>
        <v>35.402999999999999</v>
      </c>
      <c r="E23" s="91">
        <f>+'BP Sophrokhepri'!G6</f>
        <v>61.955249999999999</v>
      </c>
      <c r="F23" s="91">
        <f>+'BP Sophrokhepri'!H6</f>
        <v>108.4216875</v>
      </c>
      <c r="G23" s="91">
        <f>+'BP Sophrokhepri'!I6</f>
        <v>189.73795312500002</v>
      </c>
    </row>
    <row r="24" spans="1:31" x14ac:dyDescent="0.25">
      <c r="A24" s="9" t="s">
        <v>4</v>
      </c>
      <c r="B24" s="3">
        <v>0.15</v>
      </c>
      <c r="C24" s="91">
        <f>+'BP Sophrokhepri'!D8</f>
        <v>0</v>
      </c>
      <c r="D24" s="91">
        <f>+'BP Sophrokhepri'!F8</f>
        <v>20.09</v>
      </c>
      <c r="E24" s="91">
        <f>+'BP Sophrokhepri'!G8</f>
        <v>30.134999999999998</v>
      </c>
      <c r="F24" s="91">
        <f>+'BP Sophrokhepri'!H8</f>
        <v>45.202500000000001</v>
      </c>
      <c r="G24" s="91">
        <f>+'BP Sophrokhepri'!I8</f>
        <v>58.763249999999999</v>
      </c>
      <c r="J24" s="193" t="s">
        <v>195</v>
      </c>
      <c r="K24" s="193"/>
      <c r="L24" s="202" t="s">
        <v>190</v>
      </c>
      <c r="M24" s="203"/>
      <c r="N24" s="204"/>
      <c r="Q24" s="211" t="s">
        <v>213</v>
      </c>
      <c r="R24" s="214"/>
      <c r="S24" s="215"/>
      <c r="U24" s="207" t="s">
        <v>217</v>
      </c>
      <c r="V24" s="216"/>
      <c r="W24" s="217"/>
      <c r="Y24" s="219" t="s">
        <v>221</v>
      </c>
      <c r="Z24" s="222"/>
      <c r="AA24" s="223"/>
      <c r="AC24" s="224" t="s">
        <v>225</v>
      </c>
      <c r="AD24" s="245"/>
      <c r="AE24" s="246"/>
    </row>
    <row r="25" spans="1:31" x14ac:dyDescent="0.25">
      <c r="A25" s="9" t="s">
        <v>188</v>
      </c>
      <c r="B25" s="3">
        <v>0.05</v>
      </c>
      <c r="C25" s="91">
        <f>+'BP Sophrokhepri'!D10</f>
        <v>5.2</v>
      </c>
      <c r="D25" s="91">
        <f>+'BP Sophrokhepri'!F10</f>
        <v>15.917999999999999</v>
      </c>
      <c r="E25" s="91">
        <f>+'BP Sophrokhepri'!G10</f>
        <v>36</v>
      </c>
      <c r="F25" s="91">
        <f>+'BP Sophrokhepri'!H10</f>
        <v>36.72</v>
      </c>
      <c r="G25" s="91">
        <f>+'BP Sophrokhepri'!I10</f>
        <v>37.4544</v>
      </c>
      <c r="J25" s="99" t="s">
        <v>5</v>
      </c>
      <c r="K25" s="99" t="s">
        <v>2</v>
      </c>
      <c r="L25" s="99" t="s">
        <v>212</v>
      </c>
      <c r="M25" s="99" t="s">
        <v>211</v>
      </c>
      <c r="N25" s="99" t="s">
        <v>200</v>
      </c>
      <c r="Q25" s="105" t="s">
        <v>199</v>
      </c>
      <c r="R25" s="105" t="s">
        <v>211</v>
      </c>
      <c r="S25" s="105" t="s">
        <v>200</v>
      </c>
      <c r="U25" s="109" t="s">
        <v>199</v>
      </c>
      <c r="V25" s="109" t="s">
        <v>211</v>
      </c>
      <c r="W25" s="109" t="s">
        <v>200</v>
      </c>
      <c r="Y25" s="111" t="s">
        <v>199</v>
      </c>
      <c r="Z25" s="111" t="s">
        <v>211</v>
      </c>
      <c r="AA25" s="111" t="s">
        <v>200</v>
      </c>
      <c r="AC25" s="113" t="s">
        <v>199</v>
      </c>
      <c r="AD25" s="113" t="s">
        <v>211</v>
      </c>
      <c r="AE25" s="113" t="s">
        <v>200</v>
      </c>
    </row>
    <row r="26" spans="1:31" x14ac:dyDescent="0.25">
      <c r="A26" s="9" t="s">
        <v>187</v>
      </c>
      <c r="B26" s="2"/>
      <c r="C26" s="91">
        <f>+'BP Sophrokhepri'!D12</f>
        <v>7.5</v>
      </c>
      <c r="D26" s="91">
        <f>+'BP Sophrokhepri'!F12</f>
        <v>11.554</v>
      </c>
      <c r="E26" s="91">
        <f>+'BP Sophrokhepri'!G12</f>
        <v>17.331</v>
      </c>
      <c r="F26" s="91">
        <f>+'BP Sophrokhepri'!H12</f>
        <v>25.996499999999997</v>
      </c>
      <c r="G26" s="91">
        <f>+'BP Sophrokhepri'!I12</f>
        <v>38.994749999999996</v>
      </c>
      <c r="J26" s="95">
        <f>+'BP Sophrokhepri'!N6</f>
        <v>2</v>
      </c>
      <c r="K26" s="95">
        <f>+'BP Sophrokhepri'!O6</f>
        <v>240</v>
      </c>
      <c r="L26" s="95">
        <f>+'BP Sophrokhepri'!P6</f>
        <v>2880</v>
      </c>
      <c r="M26" s="101">
        <f>+'BP Sophrokhepri'!Q6</f>
        <v>1</v>
      </c>
      <c r="N26" s="122">
        <f>+'BP Sophrokhepri'!R6</f>
        <v>2880</v>
      </c>
      <c r="Q26" s="88">
        <f>+'BP Sophrokhepri'!Z6</f>
        <v>1344</v>
      </c>
      <c r="R26" s="91">
        <f>+'BP Sophrokhepri'!AA6</f>
        <v>0.83333333333333337</v>
      </c>
      <c r="S26" s="106">
        <f>+'BP Sophrokhepri'!AB6</f>
        <v>10590</v>
      </c>
      <c r="U26" s="88" t="str">
        <f>+'BP Sophrokhepri'!AJ6</f>
        <v>nbre h/An</v>
      </c>
      <c r="V26" s="91" t="str">
        <f>+'BP Sophrokhepri'!AK6</f>
        <v>taux réel</v>
      </c>
      <c r="W26" s="91" t="str">
        <f>+'BP Sophrokhepri'!AL6</f>
        <v>vendu</v>
      </c>
      <c r="Y26" s="88" t="str">
        <f>+'BP Sophrokhepri'!AZ6</f>
        <v>nbre h/An</v>
      </c>
      <c r="Z26" s="96" t="str">
        <f>+'BP Sophrokhepri'!BA6</f>
        <v>taux réel</v>
      </c>
      <c r="AA26" s="88" t="str">
        <f>+'BP Sophrokhepri'!BB6</f>
        <v>vendu</v>
      </c>
      <c r="AC26" s="88" t="str">
        <f>+'BP Sophrokhepri'!BJ6</f>
        <v>nbre h/An</v>
      </c>
      <c r="AD26" s="96" t="str">
        <f>+'BP Sophrokhepri'!BK6</f>
        <v>taux réel</v>
      </c>
      <c r="AE26" s="88" t="str">
        <f>+'BP Sophrokhepri'!BL6</f>
        <v>vendu</v>
      </c>
    </row>
    <row r="27" spans="1:31" x14ac:dyDescent="0.25">
      <c r="A27" s="13" t="s">
        <v>0</v>
      </c>
      <c r="B27" s="10"/>
      <c r="C27" s="91">
        <f>+'BP Sophrokhepri'!D14</f>
        <v>20.9</v>
      </c>
      <c r="D27" s="91">
        <f>+'BP Sophrokhepri'!F14</f>
        <v>82.965000000000003</v>
      </c>
      <c r="E27" s="91">
        <f>+'BP Sophrokhepri'!G14</f>
        <v>145.42124999999999</v>
      </c>
      <c r="F27" s="91">
        <f>+'BP Sophrokhepri'!H14</f>
        <v>216.3406875</v>
      </c>
      <c r="G27" s="91">
        <f>+'BP Sophrokhepri'!I14</f>
        <v>324.95035312500005</v>
      </c>
    </row>
    <row r="28" spans="1:31" x14ac:dyDescent="0.25">
      <c r="A28" s="62" t="s">
        <v>10</v>
      </c>
      <c r="B28" s="3">
        <v>0.2</v>
      </c>
      <c r="C28" s="91">
        <f>+'BP Sophrokhepri'!D15</f>
        <v>52.9</v>
      </c>
      <c r="D28" s="91">
        <f>+'BP Sophrokhepri'!F15</f>
        <v>43.332000000000001</v>
      </c>
      <c r="E28" s="91">
        <f>+'BP Sophrokhepri'!G15</f>
        <v>44.198640000000005</v>
      </c>
      <c r="F28" s="91">
        <f>+'BP Sophrokhepri'!H15</f>
        <v>45.082612800000007</v>
      </c>
      <c r="G28" s="91">
        <f>+'BP Sophrokhepri'!I15</f>
        <v>45.984265056000005</v>
      </c>
      <c r="J28" s="193" t="s">
        <v>204</v>
      </c>
      <c r="K28" s="193"/>
      <c r="L28" s="193"/>
      <c r="M28" s="193" t="s">
        <v>190</v>
      </c>
      <c r="N28" s="193"/>
      <c r="Q28" s="247" t="s">
        <v>214</v>
      </c>
      <c r="R28" s="247"/>
      <c r="S28" s="247"/>
      <c r="U28" s="248" t="s">
        <v>218</v>
      </c>
      <c r="V28" s="248"/>
      <c r="W28" s="248"/>
      <c r="Y28" s="218" t="s">
        <v>222</v>
      </c>
      <c r="Z28" s="218"/>
      <c r="AA28" s="218"/>
      <c r="AC28" s="227" t="s">
        <v>226</v>
      </c>
      <c r="AD28" s="227"/>
      <c r="AE28" s="227"/>
    </row>
    <row r="29" spans="1:31" x14ac:dyDescent="0.25">
      <c r="A29" s="62" t="s">
        <v>131</v>
      </c>
      <c r="B29" s="3">
        <v>0.02</v>
      </c>
      <c r="C29" s="91">
        <f>+'BP Sophrokhepri'!D16</f>
        <v>11.14</v>
      </c>
      <c r="D29" s="91">
        <f>+'BP Sophrokhepri'!F16</f>
        <v>11.3628</v>
      </c>
      <c r="E29" s="91">
        <f>+'BP Sophrokhepri'!G16</f>
        <v>11.590056000000001</v>
      </c>
      <c r="F29" s="91">
        <f>+'BP Sophrokhepri'!H16</f>
        <v>11.821857120000001</v>
      </c>
      <c r="G29" s="91">
        <f>+'BP Sophrokhepri'!I16</f>
        <v>12.0582942624</v>
      </c>
      <c r="J29" s="99" t="s">
        <v>208</v>
      </c>
      <c r="K29" s="99" t="s">
        <v>205</v>
      </c>
      <c r="L29" s="99" t="s">
        <v>3</v>
      </c>
      <c r="M29" s="99" t="s">
        <v>209</v>
      </c>
      <c r="N29" s="99" t="s">
        <v>210</v>
      </c>
      <c r="O29" s="4" t="s">
        <v>200</v>
      </c>
      <c r="Q29" s="105" t="s">
        <v>209</v>
      </c>
      <c r="R29" s="105" t="s">
        <v>210</v>
      </c>
      <c r="S29" s="108" t="s">
        <v>200</v>
      </c>
      <c r="U29" s="109" t="s">
        <v>209</v>
      </c>
      <c r="V29" s="109" t="s">
        <v>210</v>
      </c>
      <c r="W29" s="110" t="s">
        <v>200</v>
      </c>
      <c r="Y29" s="111" t="s">
        <v>209</v>
      </c>
      <c r="Z29" s="111" t="s">
        <v>210</v>
      </c>
      <c r="AA29" s="112" t="s">
        <v>200</v>
      </c>
      <c r="AC29" s="113" t="s">
        <v>209</v>
      </c>
      <c r="AD29" s="113" t="s">
        <v>210</v>
      </c>
      <c r="AE29" s="114" t="s">
        <v>200</v>
      </c>
    </row>
    <row r="30" spans="1:31" x14ac:dyDescent="0.25">
      <c r="A30" s="62" t="s">
        <v>132</v>
      </c>
      <c r="B30" s="2"/>
      <c r="C30" s="91">
        <f>+'BP Sophrokhepri'!D18</f>
        <v>3</v>
      </c>
      <c r="D30" s="91">
        <f>+'BP Sophrokhepri'!F18</f>
        <v>4.43</v>
      </c>
      <c r="E30" s="91">
        <f>+'BP Sophrokhepri'!G18</f>
        <v>4.5186000000000002</v>
      </c>
      <c r="F30" s="91">
        <f>+'BP Sophrokhepri'!H18</f>
        <v>4.6089720000000005</v>
      </c>
      <c r="G30" s="91">
        <f>+'BP Sophrokhepri'!I18</f>
        <v>4.7011514400000003</v>
      </c>
      <c r="J30" s="100">
        <f>+'BP Sophrokhepri'!O48</f>
        <v>15</v>
      </c>
      <c r="K30" s="100">
        <f>+'BP Sophrokhepri'!P48</f>
        <v>495</v>
      </c>
      <c r="L30" s="100">
        <f>+'BP Sophrokhepri'!Q48</f>
        <v>70</v>
      </c>
      <c r="M30" s="100">
        <f>+'BP Sophrokhepri'!R48</f>
        <v>34650</v>
      </c>
      <c r="N30" s="101">
        <f>0.001</f>
        <v>1E-3</v>
      </c>
      <c r="O30" s="100">
        <f>+M30*N30</f>
        <v>34.65</v>
      </c>
      <c r="Q30" s="97">
        <f>+'BP Sophrokhepri'!Z16</f>
        <v>34650</v>
      </c>
      <c r="R30" s="96">
        <f>+'BP Sophrokhepri'!AA16</f>
        <v>0.30014430014430016</v>
      </c>
      <c r="S30" s="97">
        <f>+'BP Sophrokhepri'!AB16</f>
        <v>10400</v>
      </c>
      <c r="U30" s="97" t="str">
        <f>+'BP Sophrokhepri'!AJ10</f>
        <v>nbre h/An</v>
      </c>
      <c r="V30" s="96" t="str">
        <f>+'BP Sophrokhepri'!AK10</f>
        <v>taux réel</v>
      </c>
      <c r="W30" s="97" t="str">
        <f>+'BP Sophrokhepri'!AL10</f>
        <v>vendu</v>
      </c>
      <c r="Y30" s="97" t="str">
        <f>+'BP Sophrokhepri'!AZ10</f>
        <v>nbre h/An</v>
      </c>
      <c r="Z30" s="96" t="str">
        <f>+'BP Sophrokhepri'!BA10</f>
        <v>taux réel</v>
      </c>
      <c r="AA30" s="97" t="str">
        <f>+'BP Sophrokhepri'!BB10</f>
        <v>vendu</v>
      </c>
      <c r="AC30" s="97" t="str">
        <f>+'BP Sophrokhepri'!BJ10</f>
        <v>nbre h/An</v>
      </c>
      <c r="AD30" s="96" t="str">
        <f>+'BP Sophrokhepri'!BK10</f>
        <v>taux réel</v>
      </c>
      <c r="AE30" s="97" t="str">
        <f>+'BP Sophrokhepri'!BL10</f>
        <v>vendu</v>
      </c>
    </row>
    <row r="31" spans="1:31" x14ac:dyDescent="0.25">
      <c r="A31" s="62" t="s">
        <v>186</v>
      </c>
      <c r="B31" s="3">
        <v>0.45</v>
      </c>
      <c r="C31" s="91">
        <f>+'BP Sophrokhepri'!D19</f>
        <v>13.1</v>
      </c>
      <c r="D31" s="91">
        <f>+'BP Sophrokhepri'!F19</f>
        <v>28.484999999999999</v>
      </c>
      <c r="E31" s="91">
        <f>+'BP Sophrokhepri'!G19</f>
        <v>0</v>
      </c>
      <c r="F31" s="91">
        <f>+'BP Sophrokhepri'!H19</f>
        <v>0</v>
      </c>
      <c r="G31" s="91">
        <f>+'BP Sophrokhepri'!I19</f>
        <v>0</v>
      </c>
    </row>
    <row r="32" spans="1:31" x14ac:dyDescent="0.25">
      <c r="A32" s="62" t="s">
        <v>121</v>
      </c>
      <c r="B32" s="3">
        <v>0.02</v>
      </c>
      <c r="C32" s="91">
        <f>+'BP Sophrokhepri'!D21</f>
        <v>11</v>
      </c>
      <c r="D32" s="91">
        <f>+'BP Sophrokhepri'!F21</f>
        <v>11.4</v>
      </c>
      <c r="E32" s="91">
        <f>+'BP Sophrokhepri'!G21</f>
        <v>9.3480000000000008</v>
      </c>
      <c r="F32" s="91">
        <f>+'BP Sophrokhepri'!H21</f>
        <v>7.6653600000000015</v>
      </c>
      <c r="G32" s="91">
        <f>+'BP Sophrokhepri'!I21</f>
        <v>6.2855952000000013</v>
      </c>
      <c r="J32" s="193" t="s">
        <v>203</v>
      </c>
      <c r="K32" s="193"/>
      <c r="L32" s="193"/>
      <c r="M32" s="193" t="s">
        <v>190</v>
      </c>
      <c r="N32" s="193"/>
      <c r="Q32" s="211" t="s">
        <v>215</v>
      </c>
      <c r="R32" s="214"/>
      <c r="S32" s="215"/>
      <c r="U32" s="248" t="s">
        <v>219</v>
      </c>
      <c r="V32" s="248"/>
      <c r="W32" s="248"/>
      <c r="Y32" s="218" t="s">
        <v>223</v>
      </c>
      <c r="Z32" s="218"/>
      <c r="AA32" s="218"/>
      <c r="AC32" s="227" t="s">
        <v>227</v>
      </c>
      <c r="AD32" s="227"/>
      <c r="AE32" s="227"/>
    </row>
    <row r="33" spans="1:31" x14ac:dyDescent="0.25">
      <c r="A33" s="62" t="s">
        <v>70</v>
      </c>
      <c r="B33" s="3">
        <v>0.02</v>
      </c>
      <c r="C33" s="91">
        <f>+'BP Sophrokhepri'!D22</f>
        <v>13</v>
      </c>
      <c r="D33" s="91">
        <f>+'BP Sophrokhepri'!F22</f>
        <v>5.7329999999999997</v>
      </c>
      <c r="E33" s="91">
        <f>+'BP Sophrokhepri'!G22</f>
        <v>17.313659999999999</v>
      </c>
      <c r="F33" s="91">
        <f>+'BP Sophrokhepri'!H22</f>
        <v>17.659933199999998</v>
      </c>
      <c r="G33" s="91">
        <f>+'BP Sophrokhepri'!I22</f>
        <v>18.013131863999998</v>
      </c>
      <c r="J33" s="202" t="s">
        <v>201</v>
      </c>
      <c r="K33" s="204"/>
      <c r="L33" s="99" t="s">
        <v>202</v>
      </c>
      <c r="M33" s="99" t="s">
        <v>211</v>
      </c>
      <c r="N33" s="99" t="s">
        <v>207</v>
      </c>
      <c r="Q33" s="105" t="s">
        <v>202</v>
      </c>
      <c r="R33" s="105" t="s">
        <v>211</v>
      </c>
      <c r="S33" s="105" t="s">
        <v>207</v>
      </c>
      <c r="U33" s="109" t="s">
        <v>202</v>
      </c>
      <c r="V33" s="109" t="s">
        <v>211</v>
      </c>
      <c r="W33" s="109" t="s">
        <v>207</v>
      </c>
      <c r="Y33" s="111" t="s">
        <v>202</v>
      </c>
      <c r="Z33" s="111" t="s">
        <v>211</v>
      </c>
      <c r="AA33" s="111" t="s">
        <v>207</v>
      </c>
      <c r="AC33" s="113" t="s">
        <v>202</v>
      </c>
      <c r="AD33" s="113" t="s">
        <v>211</v>
      </c>
      <c r="AE33" s="113" t="s">
        <v>207</v>
      </c>
    </row>
    <row r="34" spans="1:31" x14ac:dyDescent="0.25">
      <c r="A34" s="62" t="s">
        <v>123</v>
      </c>
      <c r="B34" s="3">
        <v>0.02</v>
      </c>
      <c r="C34" s="91">
        <f>+'BP Sophrokhepri'!D23</f>
        <v>1.1000000000000001</v>
      </c>
      <c r="D34" s="91">
        <f>+'BP Sophrokhepri'!F23</f>
        <v>1.2</v>
      </c>
      <c r="E34" s="91">
        <f>+'BP Sophrokhepri'!G23</f>
        <v>1.224</v>
      </c>
      <c r="F34" s="91">
        <f>+'BP Sophrokhepri'!H23</f>
        <v>1.24848</v>
      </c>
      <c r="G34" s="91">
        <f>+'BP Sophrokhepri'!I23</f>
        <v>1.2734496</v>
      </c>
      <c r="J34" s="205">
        <v>170</v>
      </c>
      <c r="K34" s="206"/>
      <c r="L34" s="103">
        <f>+(J34*49.9)*12</f>
        <v>101796</v>
      </c>
      <c r="M34" s="102">
        <v>0</v>
      </c>
      <c r="N34" s="94">
        <f>+M34*L34</f>
        <v>0</v>
      </c>
      <c r="Q34" s="103">
        <f>+'BP Sophrokhepri'!Z22</f>
        <v>84830</v>
      </c>
      <c r="R34" s="101">
        <f>+'BP Sophrokhepri'!AA22</f>
        <v>0.14980549333962043</v>
      </c>
      <c r="S34" s="103">
        <f>+'BP Sophrokhepri'!AB22</f>
        <v>12708</v>
      </c>
      <c r="U34" s="103">
        <f>+'BP Sophrokhepri'!AJ25</f>
        <v>0</v>
      </c>
      <c r="V34" s="101">
        <f>+'BP Sophrokhepri'!AK25</f>
        <v>0</v>
      </c>
      <c r="W34" s="103">
        <f>+'BP Sophrokhepri'!AL25</f>
        <v>0</v>
      </c>
      <c r="Y34" s="103" t="str">
        <f>+'BP Sophrokhepri'!AZ14</f>
        <v>2019/2020 EVELYNE</v>
      </c>
      <c r="Z34" s="101">
        <f>+'BP Sophrokhepri'!BA14</f>
        <v>0</v>
      </c>
      <c r="AA34" s="103">
        <f>+'BP Sophrokhepri'!BB14</f>
        <v>0</v>
      </c>
      <c r="AC34" s="103" t="str">
        <f>+'BP Sophrokhepri'!BJ14</f>
        <v>2020/2021 EVELYNE</v>
      </c>
      <c r="AD34" s="101">
        <f>+'BP Sophrokhepri'!BK14</f>
        <v>0</v>
      </c>
      <c r="AE34" s="103">
        <f>+'BP Sophrokhepri'!BL14</f>
        <v>0</v>
      </c>
    </row>
    <row r="35" spans="1:31" x14ac:dyDescent="0.25">
      <c r="A35" s="62" t="s">
        <v>166</v>
      </c>
      <c r="B35" s="3">
        <v>1.2E-2</v>
      </c>
      <c r="C35" s="91">
        <f>+'BP Sophrokhepri'!D24</f>
        <v>0</v>
      </c>
      <c r="D35" s="91">
        <f>+'BP Sophrokhepri'!F24</f>
        <v>0</v>
      </c>
      <c r="E35" s="91">
        <f>+'BP Sophrokhepri'!G24</f>
        <v>10.120000000000001</v>
      </c>
      <c r="F35" s="91">
        <f>+'BP Sophrokhepri'!H24</f>
        <v>10.241440000000001</v>
      </c>
      <c r="G35" s="91">
        <f>+'BP Sophrokhepri'!I24</f>
        <v>10.364337280000001</v>
      </c>
    </row>
    <row r="36" spans="1:31" x14ac:dyDescent="0.25">
      <c r="A36" s="62" t="s">
        <v>167</v>
      </c>
      <c r="B36" s="3">
        <v>0.02</v>
      </c>
      <c r="C36" s="91">
        <f>+'BP Sophrokhepri'!D25</f>
        <v>0.5</v>
      </c>
      <c r="D36" s="91">
        <f>+'BP Sophrokhepri'!F25</f>
        <v>0.51</v>
      </c>
      <c r="E36" s="91">
        <f>+'BP Sophrokhepri'!G25</f>
        <v>0</v>
      </c>
      <c r="F36" s="91">
        <f>+'BP Sophrokhepri'!H25</f>
        <v>0.5202</v>
      </c>
      <c r="G36" s="91">
        <f>+'BP Sophrokhepri'!I25</f>
        <v>0</v>
      </c>
      <c r="J36" s="193" t="s">
        <v>6</v>
      </c>
      <c r="K36" s="193"/>
      <c r="L36" s="193"/>
    </row>
    <row r="37" spans="1:31" x14ac:dyDescent="0.25">
      <c r="A37" s="62" t="s">
        <v>130</v>
      </c>
      <c r="B37" s="3">
        <v>0.02</v>
      </c>
      <c r="C37" s="91">
        <f>+'BP Sophrokhepri'!D26</f>
        <v>0</v>
      </c>
      <c r="D37" s="91">
        <f>+'BP Sophrokhepri'!F26</f>
        <v>1.365</v>
      </c>
      <c r="E37" s="91">
        <f>+'BP Sophrokhepri'!G26</f>
        <v>3.06</v>
      </c>
      <c r="F37" s="91">
        <f>+'BP Sophrokhepri'!H26</f>
        <v>3.1212</v>
      </c>
      <c r="G37" s="91">
        <f>+'BP Sophrokhepri'!I26</f>
        <v>3.183624</v>
      </c>
      <c r="J37" s="99" t="s">
        <v>1</v>
      </c>
      <c r="K37" s="99" t="s">
        <v>7</v>
      </c>
      <c r="L37" s="99" t="s">
        <v>8</v>
      </c>
    </row>
    <row r="38" spans="1:31" x14ac:dyDescent="0.25">
      <c r="A38" s="62" t="s">
        <v>124</v>
      </c>
      <c r="B38" s="3">
        <v>0.02</v>
      </c>
      <c r="C38" s="91">
        <f>+'BP Sophrokhepri'!D27</f>
        <v>0</v>
      </c>
      <c r="D38" s="91">
        <f>+'BP Sophrokhepri'!F27</f>
        <v>0</v>
      </c>
      <c r="E38" s="91">
        <f>+'BP Sophrokhepri'!G27</f>
        <v>10</v>
      </c>
      <c r="F38" s="91">
        <f>+'BP Sophrokhepri'!H27</f>
        <v>10</v>
      </c>
      <c r="G38" s="91">
        <f>+'BP Sophrokhepri'!I27</f>
        <v>10</v>
      </c>
      <c r="J38" s="102">
        <v>0.05</v>
      </c>
      <c r="K38" s="95">
        <v>400000</v>
      </c>
      <c r="L38" s="88">
        <f>K38*J38</f>
        <v>20000</v>
      </c>
    </row>
    <row r="39" spans="1:31" x14ac:dyDescent="0.25">
      <c r="A39" s="62" t="s">
        <v>164</v>
      </c>
      <c r="B39" s="4">
        <v>5</v>
      </c>
      <c r="C39" s="91">
        <f>+'BP Sophrokhepri'!D28</f>
        <v>2.8</v>
      </c>
      <c r="D39" s="91">
        <f>+'BP Sophrokhepri'!F28</f>
        <v>2.8</v>
      </c>
      <c r="E39" s="91">
        <f>+'BP Sophrokhepri'!G28</f>
        <v>-0.55999999999999994</v>
      </c>
      <c r="F39" s="91">
        <f>+'BP Sophrokhepri'!H28</f>
        <v>-0.44799999999999995</v>
      </c>
      <c r="G39" s="91">
        <f>+'BP Sophrokhepri'!I28</f>
        <v>-0.35839999999999994</v>
      </c>
    </row>
    <row r="40" spans="1:31" x14ac:dyDescent="0.25">
      <c r="A40" s="62" t="s">
        <v>165</v>
      </c>
      <c r="B40" s="4">
        <v>5</v>
      </c>
      <c r="C40" s="91">
        <f>+'BP Sophrokhepri'!D29</f>
        <v>5.4</v>
      </c>
      <c r="D40" s="91">
        <f>+'BP Sophrokhepri'!F29</f>
        <v>5.4</v>
      </c>
      <c r="E40" s="91">
        <f>+'BP Sophrokhepri'!G29</f>
        <v>2</v>
      </c>
      <c r="F40" s="91">
        <f>+'BP Sophrokhepri'!H29</f>
        <v>0.4</v>
      </c>
      <c r="G40" s="91">
        <f>+'BP Sophrokhepri'!I29</f>
        <v>0</v>
      </c>
    </row>
    <row r="41" spans="1:31" x14ac:dyDescent="0.25">
      <c r="A41" s="62" t="s">
        <v>174</v>
      </c>
      <c r="B41" s="65">
        <f>10%*(J56+J51)</f>
        <v>0</v>
      </c>
      <c r="C41" s="91">
        <f>+'BP Sophrokhepri'!D30</f>
        <v>0</v>
      </c>
      <c r="D41" s="91">
        <f>+'BP Sophrokhepri'!F30</f>
        <v>0</v>
      </c>
      <c r="E41" s="91">
        <f>+'BP Sophrokhepri'!G30</f>
        <v>0</v>
      </c>
      <c r="F41" s="91">
        <f>+'BP Sophrokhepri'!H30</f>
        <v>0</v>
      </c>
      <c r="G41" s="91">
        <f>+'BP Sophrokhepri'!I30</f>
        <v>0</v>
      </c>
    </row>
    <row r="42" spans="1:31" x14ac:dyDescent="0.25">
      <c r="A42" s="63" t="s">
        <v>125</v>
      </c>
      <c r="B42" s="10"/>
      <c r="C42" s="91">
        <f>+'BP Sophrokhepri'!D32</f>
        <v>-104.94</v>
      </c>
      <c r="D42" s="91">
        <f>+'BP Sophrokhepri'!F32</f>
        <v>-33.052800000000019</v>
      </c>
      <c r="E42" s="91">
        <f>+'BP Sophrokhepri'!G32</f>
        <v>7.6082939999999724</v>
      </c>
      <c r="F42" s="91">
        <f>+'BP Sophrokhepri'!H32</f>
        <v>64.418632379999991</v>
      </c>
      <c r="G42" s="91">
        <f>+'BP Sophrokhepri'!I32</f>
        <v>172.64490442260001</v>
      </c>
      <c r="Q42" s="211" t="s">
        <v>216</v>
      </c>
      <c r="R42" s="214"/>
      <c r="S42" s="215"/>
      <c r="U42" s="248" t="s">
        <v>220</v>
      </c>
      <c r="V42" s="248"/>
      <c r="W42" s="248"/>
      <c r="Y42" s="218" t="s">
        <v>224</v>
      </c>
      <c r="Z42" s="218"/>
      <c r="AA42" s="218"/>
      <c r="AC42" s="227" t="s">
        <v>228</v>
      </c>
      <c r="AD42" s="227"/>
      <c r="AE42" s="227"/>
    </row>
    <row r="43" spans="1:31" x14ac:dyDescent="0.25">
      <c r="A43" s="63" t="s">
        <v>139</v>
      </c>
      <c r="B43" s="10"/>
      <c r="C43" s="91">
        <f>+'BP Sophrokhepri'!D33</f>
        <v>-5.0210526315789474</v>
      </c>
      <c r="D43" s="91">
        <f>+'BP Sophrokhepri'!F33</f>
        <v>-0.39839450370638241</v>
      </c>
      <c r="E43" s="91">
        <f>+'BP Sophrokhepri'!G33</f>
        <v>5.2318997395497377E-2</v>
      </c>
      <c r="F43" s="91">
        <f>+'BP Sophrokhepri'!H33</f>
        <v>0.2977647576348762</v>
      </c>
      <c r="G43" s="91">
        <f>+'BP Sophrokhepri'!I33</f>
        <v>0.53129625114205659</v>
      </c>
      <c r="Q43" s="105" t="s">
        <v>199</v>
      </c>
      <c r="R43" s="105" t="s">
        <v>206</v>
      </c>
      <c r="S43" s="105" t="s">
        <v>200</v>
      </c>
      <c r="U43" s="109" t="s">
        <v>199</v>
      </c>
      <c r="V43" s="109" t="s">
        <v>206</v>
      </c>
      <c r="W43" s="109" t="s">
        <v>200</v>
      </c>
      <c r="Y43" s="111" t="s">
        <v>199</v>
      </c>
      <c r="Z43" s="111" t="s">
        <v>206</v>
      </c>
      <c r="AA43" s="111" t="s">
        <v>200</v>
      </c>
      <c r="AC43" s="113" t="s">
        <v>199</v>
      </c>
      <c r="AD43" s="113" t="s">
        <v>206</v>
      </c>
      <c r="AE43" s="113" t="s">
        <v>200</v>
      </c>
    </row>
    <row r="44" spans="1:31" x14ac:dyDescent="0.25">
      <c r="A44" s="62" t="s">
        <v>126</v>
      </c>
      <c r="B44" s="2"/>
      <c r="C44" s="91">
        <f>+'BP Sophrokhepri'!D34</f>
        <v>0</v>
      </c>
      <c r="D44" s="91">
        <f>+'BP Sophrokhepri'!F34</f>
        <v>0</v>
      </c>
      <c r="E44" s="91">
        <f>+'BP Sophrokhepri'!G34</f>
        <v>0</v>
      </c>
      <c r="F44" s="91">
        <f>+'BP Sophrokhepri'!H34</f>
        <v>0</v>
      </c>
      <c r="G44" s="91">
        <f>+'BP Sophrokhepri'!I34</f>
        <v>0</v>
      </c>
      <c r="J44" s="193" t="s">
        <v>197</v>
      </c>
      <c r="K44" s="193"/>
      <c r="L44" s="202" t="s">
        <v>190</v>
      </c>
      <c r="M44" s="203"/>
      <c r="N44" s="204"/>
      <c r="Q44" s="88">
        <f>+$K$26*11</f>
        <v>2640</v>
      </c>
      <c r="R44" s="102">
        <v>1.9E-3</v>
      </c>
      <c r="S44" s="106">
        <f>R44*Q44</f>
        <v>5.016</v>
      </c>
      <c r="U44" s="88">
        <f>+$K$26*11</f>
        <v>2640</v>
      </c>
      <c r="V44" s="102">
        <v>3.0000000000000001E-3</v>
      </c>
      <c r="W44" s="106">
        <f>V44*U44</f>
        <v>7.92</v>
      </c>
      <c r="Y44" s="88">
        <f>+'BP Sophrokhepri'!AZ25</f>
        <v>0</v>
      </c>
      <c r="Z44" s="96">
        <f>+'BP Sophrokhepri'!BA25</f>
        <v>0</v>
      </c>
      <c r="AA44" s="88">
        <f>+'BP Sophrokhepri'!BB25</f>
        <v>0</v>
      </c>
      <c r="AC44" s="88">
        <f>+'BP Sophrokhepri'!BJ25</f>
        <v>0</v>
      </c>
      <c r="AD44" s="96">
        <f>+'BP Sophrokhepri'!BK25</f>
        <v>0</v>
      </c>
      <c r="AE44" s="88">
        <f>+'BP Sophrokhepri'!BL25</f>
        <v>0</v>
      </c>
    </row>
    <row r="45" spans="1:31" x14ac:dyDescent="0.25">
      <c r="A45" s="62" t="s">
        <v>127</v>
      </c>
      <c r="B45" s="2"/>
      <c r="C45" s="91" t="e">
        <f>+'BP Sophrokhepri'!#REF!</f>
        <v>#REF!</v>
      </c>
      <c r="D45" s="91" t="e">
        <f>+'BP Sophrokhepri'!#REF!</f>
        <v>#REF!</v>
      </c>
      <c r="E45" s="91" t="e">
        <f>+'BP Sophrokhepri'!#REF!</f>
        <v>#REF!</v>
      </c>
      <c r="F45" s="91" t="e">
        <f>+'BP Sophrokhepri'!#REF!</f>
        <v>#REF!</v>
      </c>
      <c r="G45" s="91" t="e">
        <f>+'BP Sophrokhepri'!#REF!</f>
        <v>#REF!</v>
      </c>
      <c r="J45" s="99" t="s">
        <v>5</v>
      </c>
      <c r="K45" s="99" t="s">
        <v>198</v>
      </c>
      <c r="L45" s="99" t="s">
        <v>199</v>
      </c>
      <c r="M45" s="99" t="s">
        <v>206</v>
      </c>
      <c r="N45" s="99" t="s">
        <v>200</v>
      </c>
    </row>
    <row r="46" spans="1:31" x14ac:dyDescent="0.25">
      <c r="A46" s="62" t="s">
        <v>128</v>
      </c>
      <c r="B46" s="3">
        <v>0.25</v>
      </c>
      <c r="C46" s="91">
        <f>+'BP Sophrokhepri'!D36</f>
        <v>0</v>
      </c>
      <c r="D46" s="91">
        <f>+'BP Sophrokhepri'!F36</f>
        <v>0</v>
      </c>
      <c r="E46" s="91">
        <f>+'BP Sophrokhepri'!G36</f>
        <v>0</v>
      </c>
      <c r="F46" s="91">
        <f>+'BP Sophrokhepri'!H36</f>
        <v>0</v>
      </c>
      <c r="G46" s="91">
        <f>+'BP Sophrokhepri'!I36</f>
        <v>-41.386226105650003</v>
      </c>
      <c r="J46" s="95">
        <f>+'BP Sophrokhepri'!N27</f>
        <v>8</v>
      </c>
      <c r="K46" s="95">
        <f>+'BP Sophrokhepri'!O27</f>
        <v>1728</v>
      </c>
      <c r="L46" s="95">
        <f>+'BP Sophrokhepri'!P27</f>
        <v>19008</v>
      </c>
      <c r="M46" s="101">
        <f>+'BP Sophrokhepri'!Q27</f>
        <v>4.3139730639730637E-4</v>
      </c>
      <c r="N46" s="122">
        <f>+'BP Sophrokhepri'!R27</f>
        <v>8.1999999999999993</v>
      </c>
    </row>
    <row r="47" spans="1:31" x14ac:dyDescent="0.25">
      <c r="A47" s="63" t="s">
        <v>129</v>
      </c>
      <c r="B47" s="10"/>
      <c r="C47" s="91">
        <f>+'BP Sophrokhepri'!D37</f>
        <v>-105.24</v>
      </c>
      <c r="D47" s="91">
        <f>+'BP Sophrokhepri'!F37</f>
        <v>-50.052800000000019</v>
      </c>
      <c r="E47" s="91">
        <f>+'BP Sophrokhepri'!G37</f>
        <v>-6.6917060000000284</v>
      </c>
      <c r="F47" s="91">
        <f>+'BP Sophrokhepri'!H37</f>
        <v>53.31863237999999</v>
      </c>
      <c r="G47" s="91">
        <f>+'BP Sophrokhepri'!I37</f>
        <v>124.15867831695</v>
      </c>
    </row>
    <row r="50" spans="1:10" x14ac:dyDescent="0.25">
      <c r="A50" s="8" t="s">
        <v>177</v>
      </c>
    </row>
    <row r="51" spans="1:10" x14ac:dyDescent="0.25">
      <c r="A51" s="74" t="s">
        <v>178</v>
      </c>
      <c r="B51" s="73"/>
      <c r="C51" s="130" t="s">
        <v>190</v>
      </c>
      <c r="D51" s="118" t="s">
        <v>191</v>
      </c>
      <c r="E51" s="117" t="s">
        <v>192</v>
      </c>
      <c r="F51" s="116" t="s">
        <v>193</v>
      </c>
      <c r="G51" s="115" t="s">
        <v>194</v>
      </c>
      <c r="I51" s="242" t="s">
        <v>140</v>
      </c>
      <c r="J51" s="242"/>
    </row>
    <row r="52" spans="1:10" x14ac:dyDescent="0.25">
      <c r="A52" s="73" t="s">
        <v>133</v>
      </c>
      <c r="B52" s="77"/>
      <c r="C52" s="91">
        <f>+'BP Sophrokhepri'!D40</f>
        <v>-97.039999999999992</v>
      </c>
      <c r="D52" s="91">
        <f>+'BP Sophrokhepri'!F40</f>
        <v>-41.852800000000023</v>
      </c>
      <c r="E52" s="91">
        <f>+'BP Sophrokhepri'!G40</f>
        <v>-5.251706000000028</v>
      </c>
      <c r="F52" s="91">
        <f>+'BP Sophrokhepri'!H40</f>
        <v>53.270632379999988</v>
      </c>
      <c r="G52" s="91">
        <f>+'BP Sophrokhepri'!I40</f>
        <v>123.80027831695</v>
      </c>
      <c r="I52" s="2" t="s">
        <v>171</v>
      </c>
      <c r="J52" s="2">
        <v>10</v>
      </c>
    </row>
    <row r="53" spans="1:10" x14ac:dyDescent="0.25">
      <c r="A53" s="75" t="s">
        <v>138</v>
      </c>
      <c r="B53" s="78">
        <v>150</v>
      </c>
      <c r="C53" s="91">
        <f>+'BP Sophrokhepri'!D41</f>
        <v>93.9</v>
      </c>
      <c r="D53" s="91">
        <f>+'BP Sophrokhepri'!F41</f>
        <v>55.53</v>
      </c>
      <c r="E53" s="91">
        <f>+'BP Sophrokhepri'!G41</f>
        <v>0</v>
      </c>
      <c r="F53" s="91">
        <f>+'BP Sophrokhepri'!H41</f>
        <v>0</v>
      </c>
      <c r="G53" s="91">
        <f>+'BP Sophrokhepri'!I41</f>
        <v>0</v>
      </c>
      <c r="I53" s="2" t="s">
        <v>172</v>
      </c>
      <c r="J53" s="2">
        <v>150</v>
      </c>
    </row>
    <row r="54" spans="1:10" x14ac:dyDescent="0.25">
      <c r="A54" s="75" t="s">
        <v>134</v>
      </c>
      <c r="B54" s="78">
        <v>50</v>
      </c>
      <c r="C54" s="91">
        <f>+'BP Sophrokhepri'!D42</f>
        <v>10</v>
      </c>
      <c r="D54" s="91">
        <f>+'BP Sophrokhepri'!F42</f>
        <v>0</v>
      </c>
      <c r="E54" s="91">
        <f>+'BP Sophrokhepri'!G42</f>
        <v>0</v>
      </c>
      <c r="F54" s="91">
        <f>+'BP Sophrokhepri'!H42</f>
        <v>0</v>
      </c>
      <c r="G54" s="91">
        <f>+'BP Sophrokhepri'!I42</f>
        <v>0</v>
      </c>
      <c r="I54" s="2" t="s">
        <v>173</v>
      </c>
      <c r="J54" s="2">
        <f>+J52+J53</f>
        <v>160</v>
      </c>
    </row>
    <row r="55" spans="1:10" x14ac:dyDescent="0.25">
      <c r="A55" s="75" t="s">
        <v>135</v>
      </c>
      <c r="B55" s="77"/>
      <c r="C55" s="91">
        <f>+'BP Sophrokhepri'!D43</f>
        <v>52.6</v>
      </c>
      <c r="D55" s="91">
        <f>+'BP Sophrokhepri'!F43</f>
        <v>-18.2</v>
      </c>
      <c r="E55" s="91">
        <f>+'BP Sophrokhepri'!G43</f>
        <v>-11.3</v>
      </c>
      <c r="F55" s="91">
        <f>+'BP Sophrokhepri'!H43</f>
        <v>-12</v>
      </c>
      <c r="G55" s="91">
        <f>+'BP Sophrokhepri'!I43</f>
        <v>-12.3</v>
      </c>
    </row>
    <row r="56" spans="1:10" x14ac:dyDescent="0.25">
      <c r="A56" s="75" t="s">
        <v>136</v>
      </c>
      <c r="B56" s="77"/>
      <c r="C56" s="91">
        <f>+'BP Sophrokhepri'!D44</f>
        <v>6.4</v>
      </c>
      <c r="D56" s="91">
        <f>+'BP Sophrokhepri'!F44</f>
        <v>7.5315352054794502</v>
      </c>
      <c r="E56" s="91">
        <f>+'BP Sophrokhepri'!G44</f>
        <v>0.97719629771690109</v>
      </c>
      <c r="F56" s="91">
        <f>+'BP Sophrokhepri'!H44</f>
        <v>-2.1296129818082203</v>
      </c>
      <c r="G56" s="91">
        <f>+'BP Sophrokhepri'!I44</f>
        <v>-5.3103767396818267</v>
      </c>
      <c r="I56" s="238" t="s">
        <v>170</v>
      </c>
      <c r="J56" s="239"/>
    </row>
    <row r="57" spans="1:10" x14ac:dyDescent="0.25">
      <c r="A57" s="75" t="s">
        <v>146</v>
      </c>
      <c r="B57" s="77">
        <v>-7</v>
      </c>
      <c r="C57" s="91">
        <f>+'BP Sophrokhepri'!D45</f>
        <v>-2.8</v>
      </c>
      <c r="D57" s="91">
        <f>+'BP Sophrokhepri'!F45</f>
        <v>0</v>
      </c>
      <c r="E57" s="91">
        <f>+'BP Sophrokhepri'!G45</f>
        <v>0</v>
      </c>
      <c r="F57" s="91">
        <f>+'BP Sophrokhepri'!H45</f>
        <v>0</v>
      </c>
      <c r="G57" s="91">
        <f>+'BP Sophrokhepri'!I45</f>
        <v>0</v>
      </c>
      <c r="I57" s="2" t="s">
        <v>168</v>
      </c>
      <c r="J57" s="2">
        <v>25</v>
      </c>
    </row>
    <row r="58" spans="1:10" x14ac:dyDescent="0.25">
      <c r="A58" s="75" t="s">
        <v>148</v>
      </c>
      <c r="B58" s="77"/>
      <c r="C58" s="91">
        <f>+'BP Sophrokhepri'!D46</f>
        <v>-44.3</v>
      </c>
      <c r="D58" s="91">
        <f>+'BP Sophrokhepri'!F46</f>
        <v>0</v>
      </c>
      <c r="E58" s="91">
        <f>+'BP Sophrokhepri'!G46</f>
        <v>-50</v>
      </c>
      <c r="F58" s="91">
        <f>+'BP Sophrokhepri'!H46</f>
        <v>0</v>
      </c>
      <c r="G58" s="91">
        <f>+'BP Sophrokhepri'!I46</f>
        <v>0</v>
      </c>
      <c r="I58" s="2" t="s">
        <v>169</v>
      </c>
      <c r="J58" s="2">
        <v>25</v>
      </c>
    </row>
    <row r="59" spans="1:10" x14ac:dyDescent="0.25">
      <c r="A59" s="75" t="s">
        <v>153</v>
      </c>
      <c r="B59" s="77">
        <v>-8</v>
      </c>
      <c r="C59" s="91">
        <f>+'BP Sophrokhepri'!D47</f>
        <v>-8</v>
      </c>
      <c r="D59" s="91">
        <f>+'BP Sophrokhepri'!F47</f>
        <v>0</v>
      </c>
      <c r="E59" s="91">
        <f>+'BP Sophrokhepri'!G47</f>
        <v>-10</v>
      </c>
      <c r="F59" s="91">
        <f>+'BP Sophrokhepri'!H47</f>
        <v>0</v>
      </c>
      <c r="G59" s="91">
        <f>+'BP Sophrokhepri'!I47</f>
        <v>0</v>
      </c>
      <c r="I59" s="2" t="s">
        <v>173</v>
      </c>
      <c r="J59" s="2">
        <f>+J57+J58</f>
        <v>50</v>
      </c>
    </row>
    <row r="60" spans="1:10" x14ac:dyDescent="0.25">
      <c r="A60" s="76" t="s">
        <v>137</v>
      </c>
      <c r="B60" s="79">
        <v>185</v>
      </c>
      <c r="C60" s="91">
        <f>+'BP Sophrokhepri'!D50</f>
        <v>7.6600000000000197</v>
      </c>
      <c r="D60" s="91">
        <f>+'BP Sophrokhepri'!F50</f>
        <v>10.668735205479448</v>
      </c>
      <c r="E60" s="91">
        <f>+'BP Sophrokhepri'!G50</f>
        <v>-69.905774496803673</v>
      </c>
      <c r="F60" s="91">
        <f>+'BP Sophrokhepri'!H50</f>
        <v>-30.764755098611907</v>
      </c>
      <c r="G60" s="91">
        <f>+'BP Sophrokhepri'!I50</f>
        <v>75.425146478656274</v>
      </c>
    </row>
    <row r="64" spans="1:10" x14ac:dyDescent="0.25">
      <c r="A64" s="8" t="s">
        <v>179</v>
      </c>
    </row>
    <row r="65" spans="1:7" x14ac:dyDescent="0.25">
      <c r="A65" s="81" t="s">
        <v>156</v>
      </c>
      <c r="B65" s="80"/>
      <c r="C65" s="130" t="s">
        <v>190</v>
      </c>
      <c r="D65" s="118" t="s">
        <v>191</v>
      </c>
      <c r="E65" s="117" t="s">
        <v>192</v>
      </c>
      <c r="F65" s="116" t="s">
        <v>193</v>
      </c>
      <c r="G65" s="115" t="s">
        <v>194</v>
      </c>
    </row>
    <row r="66" spans="1:7" x14ac:dyDescent="0.25">
      <c r="A66" s="80" t="s">
        <v>185</v>
      </c>
      <c r="B66" s="83">
        <v>50</v>
      </c>
      <c r="C66" s="91">
        <f>+'BP Sophrokhepri'!D53</f>
        <v>-95.24</v>
      </c>
      <c r="D66" s="91">
        <f>+'BP Sophrokhepri'!F53</f>
        <v>-145.2928</v>
      </c>
      <c r="E66" s="91">
        <f>+'BP Sophrokhepri'!G53</f>
        <v>-151.98450600000004</v>
      </c>
      <c r="F66" s="91">
        <f>+'BP Sophrokhepri'!H53</f>
        <v>-98.665873620000042</v>
      </c>
      <c r="G66" s="91">
        <f>+'BP Sophrokhepri'!I53</f>
        <v>25.49280469694996</v>
      </c>
    </row>
    <row r="67" spans="1:7" x14ac:dyDescent="0.25">
      <c r="A67" s="80" t="s">
        <v>140</v>
      </c>
      <c r="B67" s="83">
        <v>150</v>
      </c>
      <c r="C67" s="91">
        <f>+'BP Sophrokhepri'!D54</f>
        <v>93.9</v>
      </c>
      <c r="D67" s="91">
        <f>+'BP Sophrokhepri'!F54</f>
        <v>149.43</v>
      </c>
      <c r="E67" s="91">
        <f>+'BP Sophrokhepri'!G54</f>
        <v>149.43</v>
      </c>
      <c r="F67" s="91">
        <f>+'BP Sophrokhepri'!H54</f>
        <v>149.43</v>
      </c>
      <c r="G67" s="91">
        <f>+'BP Sophrokhepri'!I54</f>
        <v>149.43</v>
      </c>
    </row>
    <row r="68" spans="1:7" x14ac:dyDescent="0.25">
      <c r="A68" s="80" t="s">
        <v>141</v>
      </c>
      <c r="B68" s="83"/>
      <c r="C68" s="91">
        <f>+'BP Sophrokhepri'!D55</f>
        <v>52.6</v>
      </c>
      <c r="D68" s="91">
        <f>+'BP Sophrokhepri'!F55</f>
        <v>34.400000000000006</v>
      </c>
      <c r="E68" s="91">
        <f>+'BP Sophrokhepri'!G55</f>
        <v>23.100000000000005</v>
      </c>
      <c r="F68" s="91">
        <f>+'BP Sophrokhepri'!H55</f>
        <v>11.100000000000005</v>
      </c>
      <c r="G68" s="91">
        <f>+'BP Sophrokhepri'!I55</f>
        <v>-1.1999999999999957</v>
      </c>
    </row>
    <row r="69" spans="1:7" x14ac:dyDescent="0.25">
      <c r="A69" s="80" t="s">
        <v>142</v>
      </c>
      <c r="B69" s="83"/>
      <c r="C69" s="91">
        <f>+'BP Sophrokhepri'!D56</f>
        <v>3</v>
      </c>
      <c r="D69" s="91">
        <f>+'BP Sophrokhepri'!F56</f>
        <v>15.649209863013699</v>
      </c>
      <c r="E69" s="91">
        <f>+'BP Sophrokhepri'!G56</f>
        <v>19.996857073972606</v>
      </c>
      <c r="F69" s="91">
        <f>+'BP Sophrokhepri'!H56</f>
        <v>20.114641009972605</v>
      </c>
      <c r="G69" s="91">
        <f>+'BP Sophrokhepri'!I56</f>
        <v>20.093690702939181</v>
      </c>
    </row>
    <row r="70" spans="1:7" x14ac:dyDescent="0.25">
      <c r="A70" s="82" t="s">
        <v>143</v>
      </c>
      <c r="B70" s="83"/>
      <c r="C70" s="91">
        <f>+'BP Sophrokhepri'!D57</f>
        <v>3.4</v>
      </c>
      <c r="D70" s="91">
        <f>+'BP Sophrokhepri'!F57</f>
        <v>2.3737499999999998</v>
      </c>
      <c r="E70" s="91">
        <f>+'BP Sophrokhepri'!G57</f>
        <v>2.0833333333333335</v>
      </c>
      <c r="F70" s="91">
        <f>+'BP Sophrokhepri'!H57</f>
        <v>3.3333333333333335</v>
      </c>
      <c r="G70" s="91">
        <f>+'BP Sophrokhepri'!I57</f>
        <v>3.4</v>
      </c>
    </row>
    <row r="71" spans="1:7" x14ac:dyDescent="0.25">
      <c r="A71" s="82" t="s">
        <v>144</v>
      </c>
      <c r="B71" s="83"/>
      <c r="C71" s="91">
        <f>+'BP Sophrokhepri'!D58</f>
        <v>0</v>
      </c>
      <c r="D71" s="91">
        <f>+'BP Sophrokhepri'!F58</f>
        <v>0</v>
      </c>
      <c r="E71" s="91">
        <f>+'BP Sophrokhepri'!G58</f>
        <v>0</v>
      </c>
      <c r="F71" s="91">
        <f>+'BP Sophrokhepri'!H58</f>
        <v>0</v>
      </c>
      <c r="G71" s="91">
        <f>+'BP Sophrokhepri'!I58</f>
        <v>0</v>
      </c>
    </row>
    <row r="72" spans="1:7" x14ac:dyDescent="0.25">
      <c r="A72" s="82" t="s">
        <v>145</v>
      </c>
      <c r="B72" s="83">
        <v>200</v>
      </c>
      <c r="C72" s="91">
        <f>+'BP Sophrokhepri'!D59</f>
        <v>57.660000000000011</v>
      </c>
      <c r="D72" s="91">
        <f>+'BP Sophrokhepri'!F59</f>
        <v>56.560159863013709</v>
      </c>
      <c r="E72" s="91">
        <f>+'BP Sophrokhepri'!G59</f>
        <v>42.625684407305918</v>
      </c>
      <c r="F72" s="91">
        <f>+'BP Sophrokhepri'!H59</f>
        <v>85.312100723305903</v>
      </c>
      <c r="G72" s="91">
        <f>+'BP Sophrokhepri'!I59</f>
        <v>197.21649539988917</v>
      </c>
    </row>
    <row r="73" spans="1:7" x14ac:dyDescent="0.25">
      <c r="B73" s="67"/>
      <c r="C73" s="67"/>
      <c r="D73" s="67"/>
      <c r="E73" s="67"/>
      <c r="F73" s="67"/>
      <c r="G73" s="67"/>
    </row>
    <row r="74" spans="1:7" x14ac:dyDescent="0.25">
      <c r="A74" s="84" t="s">
        <v>146</v>
      </c>
      <c r="B74" s="87">
        <f>+'BP Sophrokhepri'!B61</f>
        <v>0</v>
      </c>
      <c r="C74" s="91">
        <f>+'BP Sophrokhepri'!D61</f>
        <v>0</v>
      </c>
      <c r="D74" s="91">
        <f>+'BP Sophrokhepri'!F61</f>
        <v>-2.8</v>
      </c>
      <c r="E74" s="91">
        <f>+'BP Sophrokhepri'!G61</f>
        <v>-2.2399999999999998</v>
      </c>
      <c r="F74" s="91">
        <f>+'BP Sophrokhepri'!H61</f>
        <v>-1.7919999999999998</v>
      </c>
      <c r="G74" s="91">
        <f>+'BP Sophrokhepri'!I61</f>
        <v>-1.4335999999999998</v>
      </c>
    </row>
    <row r="75" spans="1:7" x14ac:dyDescent="0.25">
      <c r="A75" s="84" t="s">
        <v>148</v>
      </c>
      <c r="B75" s="91">
        <f>+'BP Sophrokhepri'!B62</f>
        <v>0</v>
      </c>
      <c r="C75" s="91">
        <f>+'BP Sophrokhepri'!D62</f>
        <v>38.9</v>
      </c>
      <c r="D75" s="91">
        <f>+'BP Sophrokhepri'!F62</f>
        <v>33.5</v>
      </c>
      <c r="E75" s="91">
        <f>+'BP Sophrokhepri'!G62</f>
        <v>81.5</v>
      </c>
      <c r="F75" s="91">
        <f>+'BP Sophrokhepri'!H62</f>
        <v>81.099999999999994</v>
      </c>
      <c r="G75" s="91">
        <f>+'BP Sophrokhepri'!I62</f>
        <v>81.099999999999994</v>
      </c>
    </row>
    <row r="76" spans="1:7" x14ac:dyDescent="0.25">
      <c r="A76" s="84" t="s">
        <v>147</v>
      </c>
      <c r="B76" s="91">
        <f>+'BP Sophrokhepri'!B63</f>
        <v>0</v>
      </c>
      <c r="C76" s="91">
        <f>+'BP Sophrokhepri'!D63</f>
        <v>8</v>
      </c>
      <c r="D76" s="91">
        <f>+'BP Sophrokhepri'!F63</f>
        <v>8</v>
      </c>
      <c r="E76" s="91">
        <f>+'BP Sophrokhepri'!G63</f>
        <v>18</v>
      </c>
      <c r="F76" s="91">
        <f>+'BP Sophrokhepri'!H63</f>
        <v>18</v>
      </c>
      <c r="G76" s="91">
        <f>+'BP Sophrokhepri'!I63</f>
        <v>18</v>
      </c>
    </row>
    <row r="77" spans="1:7" x14ac:dyDescent="0.25">
      <c r="A77" s="84" t="s">
        <v>149</v>
      </c>
      <c r="B77" s="91">
        <f>+'BP Sophrokhepri'!B64</f>
        <v>0</v>
      </c>
      <c r="C77" s="91">
        <f>+'BP Sophrokhepri'!D64</f>
        <v>0</v>
      </c>
      <c r="D77" s="91">
        <f>+'BP Sophrokhepri'!F64</f>
        <v>0</v>
      </c>
      <c r="E77" s="91">
        <f>+'BP Sophrokhepri'!G64</f>
        <v>0</v>
      </c>
      <c r="F77" s="91">
        <f>+'BP Sophrokhepri'!H64</f>
        <v>0</v>
      </c>
      <c r="G77" s="91">
        <f>+'BP Sophrokhepri'!I64</f>
        <v>0</v>
      </c>
    </row>
    <row r="78" spans="1:7" x14ac:dyDescent="0.25">
      <c r="A78" s="84" t="s">
        <v>150</v>
      </c>
      <c r="B78" s="91">
        <f>+'BP Sophrokhepri'!B65</f>
        <v>0</v>
      </c>
      <c r="C78" s="91">
        <f>+'BP Sophrokhepri'!D65</f>
        <v>0</v>
      </c>
      <c r="D78" s="91">
        <f>+'BP Sophrokhepri'!F65</f>
        <v>4.0914246575342466</v>
      </c>
      <c r="E78" s="91">
        <f>+'BP Sophrokhepri'!G65</f>
        <v>7.1714589041095884</v>
      </c>
      <c r="F78" s="91">
        <f>+'BP Sophrokhepri'!H65</f>
        <v>10.668855821917807</v>
      </c>
      <c r="G78" s="91">
        <f>+'BP Sophrokhepri'!I65</f>
        <v>16.024948921232877</v>
      </c>
    </row>
    <row r="79" spans="1:7" x14ac:dyDescent="0.25">
      <c r="A79" s="84" t="s">
        <v>151</v>
      </c>
      <c r="B79" s="91">
        <f>+'BP Sophrokhepri'!B66</f>
        <v>0</v>
      </c>
      <c r="C79" s="91">
        <f>+'BP Sophrokhepri'!D66</f>
        <v>3.1</v>
      </c>
      <c r="D79" s="91">
        <f>+'BP Sophrokhepri'!F66</f>
        <v>3.1</v>
      </c>
      <c r="E79" s="91">
        <f>+'BP Sophrokhepri'!G66</f>
        <v>8.1</v>
      </c>
      <c r="F79" s="91">
        <f>+'BP Sophrokhepri'!H66</f>
        <v>8.1</v>
      </c>
      <c r="G79" s="91">
        <f>+'BP Sophrokhepri'!I66</f>
        <v>8.1</v>
      </c>
    </row>
    <row r="80" spans="1:7" x14ac:dyDescent="0.25">
      <c r="A80" s="84" t="s">
        <v>152</v>
      </c>
      <c r="B80" s="91">
        <f>+'BP Sophrokhepri'!B67</f>
        <v>0</v>
      </c>
      <c r="C80" s="91">
        <f>+'BP Sophrokhepri'!D67</f>
        <v>7.5</v>
      </c>
      <c r="D80" s="91">
        <f>+'BP Sophrokhepri'!F67</f>
        <v>10.668735205479448</v>
      </c>
      <c r="E80" s="91">
        <f>+'BP Sophrokhepri'!G67</f>
        <v>-69.905774496803673</v>
      </c>
      <c r="F80" s="91">
        <f>+'BP Sophrokhepri'!H67</f>
        <v>-30.764755098611907</v>
      </c>
      <c r="G80" s="91">
        <f>+'BP Sophrokhepri'!I67</f>
        <v>75.425146478656274</v>
      </c>
    </row>
    <row r="81" spans="1:7" x14ac:dyDescent="0.25">
      <c r="A81" s="85" t="s">
        <v>154</v>
      </c>
      <c r="B81" s="91">
        <f>+'BP Sophrokhepri'!B68</f>
        <v>0</v>
      </c>
      <c r="C81" s="91">
        <f>+'BP Sophrokhepri'!D68</f>
        <v>57.5</v>
      </c>
      <c r="D81" s="91">
        <f>+'BP Sophrokhepri'!F68</f>
        <v>56.560159863013702</v>
      </c>
      <c r="E81" s="91">
        <f>+'BP Sophrokhepri'!G68</f>
        <v>42.625684407305911</v>
      </c>
      <c r="F81" s="91">
        <f>+'BP Sophrokhepri'!H68</f>
        <v>85.312100723305889</v>
      </c>
      <c r="G81" s="91">
        <f>+'BP Sophrokhepri'!I68</f>
        <v>197.21649539988914</v>
      </c>
    </row>
    <row r="82" spans="1:7" x14ac:dyDescent="0.25">
      <c r="A82" s="86" t="s">
        <v>155</v>
      </c>
      <c r="B82" s="91">
        <f>+'BP Sophrokhepri'!B69</f>
        <v>0</v>
      </c>
      <c r="C82" s="91">
        <f>+'BP Sophrokhepri'!D69</f>
        <v>-0.1600000000000108</v>
      </c>
      <c r="D82" s="91">
        <f>+'BP Sophrokhepri'!F69</f>
        <v>0</v>
      </c>
      <c r="E82" s="91">
        <f>+'BP Sophrokhepri'!G69</f>
        <v>0</v>
      </c>
      <c r="F82" s="91">
        <f>+'BP Sophrokhepri'!H69</f>
        <v>0</v>
      </c>
      <c r="G82" s="91">
        <f>+'BP Sophrokhepri'!I69</f>
        <v>0</v>
      </c>
    </row>
    <row r="83" spans="1:7" x14ac:dyDescent="0.25">
      <c r="A83" s="68"/>
      <c r="B83" s="69"/>
      <c r="C83" s="69"/>
      <c r="D83" s="69"/>
      <c r="E83" s="69"/>
      <c r="F83" s="69"/>
      <c r="G83" s="69"/>
    </row>
    <row r="84" spans="1:7" x14ac:dyDescent="0.25">
      <c r="A84" s="68"/>
      <c r="B84" s="69"/>
      <c r="C84" s="69"/>
      <c r="D84" s="69"/>
      <c r="E84" s="69"/>
      <c r="F84" s="69"/>
      <c r="G84" s="69"/>
    </row>
    <row r="85" spans="1:7" x14ac:dyDescent="0.25">
      <c r="A85" s="68" t="s">
        <v>180</v>
      </c>
    </row>
    <row r="86" spans="1:7" x14ac:dyDescent="0.25">
      <c r="A86" s="89" t="s">
        <v>76</v>
      </c>
      <c r="B86" s="88"/>
      <c r="C86" s="130" t="s">
        <v>190</v>
      </c>
      <c r="D86" s="118" t="s">
        <v>191</v>
      </c>
      <c r="E86" s="117" t="s">
        <v>192</v>
      </c>
      <c r="F86" s="116" t="s">
        <v>193</v>
      </c>
      <c r="G86" s="115" t="s">
        <v>194</v>
      </c>
    </row>
    <row r="87" spans="1:7" x14ac:dyDescent="0.25">
      <c r="A87" s="88" t="s">
        <v>149</v>
      </c>
      <c r="B87" s="88"/>
      <c r="C87" s="91"/>
      <c r="D87" s="91"/>
      <c r="E87" s="91"/>
      <c r="F87" s="91"/>
      <c r="G87" s="91"/>
    </row>
    <row r="88" spans="1:7" x14ac:dyDescent="0.25">
      <c r="A88" s="88" t="s">
        <v>157</v>
      </c>
      <c r="B88" s="88"/>
      <c r="C88" s="91">
        <f>+'BP Sophrokhepri'!D74</f>
        <v>0</v>
      </c>
      <c r="D88" s="91">
        <f>+'BP Sophrokhepri'!F74</f>
        <v>4.0914246575342466</v>
      </c>
      <c r="E88" s="91">
        <f>+'BP Sophrokhepri'!G74</f>
        <v>7.1714589041095884</v>
      </c>
      <c r="F88" s="91">
        <f>+'BP Sophrokhepri'!H74</f>
        <v>10.668855821917807</v>
      </c>
      <c r="G88" s="91">
        <f>+'BP Sophrokhepri'!I74</f>
        <v>16.024948921232877</v>
      </c>
    </row>
    <row r="89" spans="1:7" x14ac:dyDescent="0.25">
      <c r="A89" s="88" t="s">
        <v>158</v>
      </c>
      <c r="B89" s="88"/>
      <c r="C89" s="91">
        <f>+'BP Sophrokhepri'!D75</f>
        <v>3</v>
      </c>
      <c r="D89" s="91">
        <f>+'BP Sophrokhepri'!F75</f>
        <v>15.649209863013699</v>
      </c>
      <c r="E89" s="91">
        <f>+'BP Sophrokhepri'!G75</f>
        <v>19.996857073972606</v>
      </c>
      <c r="F89" s="91">
        <f>+'BP Sophrokhepri'!H75</f>
        <v>20.114641009972605</v>
      </c>
      <c r="G89" s="91">
        <f>+'BP Sophrokhepri'!I75</f>
        <v>20.093690702939181</v>
      </c>
    </row>
    <row r="90" spans="1:7" x14ac:dyDescent="0.25">
      <c r="A90" s="88" t="s">
        <v>143</v>
      </c>
      <c r="B90" s="88"/>
      <c r="C90" s="91">
        <f>+'BP Sophrokhepri'!D76</f>
        <v>3.4</v>
      </c>
      <c r="D90" s="91">
        <f>+'BP Sophrokhepri'!F76</f>
        <v>2.3737499999999998</v>
      </c>
      <c r="E90" s="91">
        <f>+'BP Sophrokhepri'!G76</f>
        <v>2.0833333333333335</v>
      </c>
      <c r="F90" s="91">
        <f>+'BP Sophrokhepri'!H76</f>
        <v>3.3333333333333335</v>
      </c>
      <c r="G90" s="91">
        <f>+'BP Sophrokhepri'!I76</f>
        <v>3.4</v>
      </c>
    </row>
    <row r="91" spans="1:7" x14ac:dyDescent="0.25">
      <c r="A91" s="88" t="s">
        <v>76</v>
      </c>
      <c r="B91" s="88"/>
      <c r="C91" s="91">
        <f>+'BP Sophrokhepri'!D77</f>
        <v>-6.4</v>
      </c>
      <c r="D91" s="91">
        <f>+'BP Sophrokhepri'!F77</f>
        <v>-13.931535205479451</v>
      </c>
      <c r="E91" s="91">
        <f>+'BP Sophrokhepri'!G77</f>
        <v>-14.908731503196352</v>
      </c>
      <c r="F91" s="91">
        <f>+'BP Sophrokhepri'!H77</f>
        <v>-12.779118521388131</v>
      </c>
      <c r="G91" s="91">
        <f>+'BP Sophrokhepri'!I77</f>
        <v>-7.4687417817063046</v>
      </c>
    </row>
    <row r="92" spans="1:7" x14ac:dyDescent="0.25">
      <c r="A92" s="88" t="s">
        <v>159</v>
      </c>
      <c r="B92" s="88"/>
      <c r="C92" s="91">
        <f>+'BP Sophrokhepri'!D78</f>
        <v>6.4</v>
      </c>
      <c r="D92" s="91">
        <f>+'BP Sophrokhepri'!F78</f>
        <v>7.5315352054794502</v>
      </c>
      <c r="E92" s="91">
        <f>+'BP Sophrokhepri'!G78</f>
        <v>0.97719629771690109</v>
      </c>
      <c r="F92" s="91">
        <f>+'BP Sophrokhepri'!H78</f>
        <v>-2.1296129818082203</v>
      </c>
      <c r="G92" s="91">
        <f>+'BP Sophrokhepri'!I78</f>
        <v>-5.3103767396818267</v>
      </c>
    </row>
    <row r="93" spans="1:7" x14ac:dyDescent="0.25">
      <c r="A93" s="90" t="s">
        <v>160</v>
      </c>
      <c r="B93" s="88"/>
      <c r="C93" s="91" t="str">
        <f>+'BP Sophrokhepri'!D79</f>
        <v>ns</v>
      </c>
      <c r="D93" s="91">
        <f>+'BP Sophrokhepri'!F79</f>
        <v>0</v>
      </c>
      <c r="E93" s="91">
        <f>+'BP Sophrokhepri'!G79</f>
        <v>0</v>
      </c>
      <c r="F93" s="91">
        <f>+'BP Sophrokhepri'!H79</f>
        <v>0</v>
      </c>
      <c r="G93" s="91">
        <f>+'BP Sophrokhepri'!I79</f>
        <v>0</v>
      </c>
    </row>
    <row r="94" spans="1:7" x14ac:dyDescent="0.25">
      <c r="A94" s="90" t="s">
        <v>161</v>
      </c>
      <c r="B94" s="88"/>
      <c r="C94" s="91" t="str">
        <f>+'BP Sophrokhepri'!D80</f>
        <v>ns</v>
      </c>
      <c r="D94" s="91">
        <f>+'BP Sophrokhepri'!F80</f>
        <v>15</v>
      </c>
      <c r="E94" s="91">
        <f>+'BP Sophrokhepri'!G80</f>
        <v>15</v>
      </c>
      <c r="F94" s="91">
        <f>+'BP Sophrokhepri'!H80</f>
        <v>15</v>
      </c>
      <c r="G94" s="91">
        <f>+'BP Sophrokhepri'!I80</f>
        <v>15</v>
      </c>
    </row>
    <row r="95" spans="1:7" x14ac:dyDescent="0.25">
      <c r="A95" s="90" t="s">
        <v>162</v>
      </c>
      <c r="B95" s="88"/>
      <c r="C95" s="91" t="str">
        <f>+'BP Sophrokhepri'!D81</f>
        <v>ns</v>
      </c>
      <c r="D95" s="91">
        <f>+'BP Sophrokhepri'!F81</f>
        <v>60</v>
      </c>
      <c r="E95" s="91">
        <f>+'BP Sophrokhepri'!G81</f>
        <v>60</v>
      </c>
      <c r="F95" s="91">
        <f>+'BP Sophrokhepri'!H81</f>
        <v>60</v>
      </c>
      <c r="G95" s="91">
        <f>+'BP Sophrokhepri'!I81</f>
        <v>60</v>
      </c>
    </row>
    <row r="96" spans="1:7" x14ac:dyDescent="0.25">
      <c r="A96" s="90" t="s">
        <v>163</v>
      </c>
      <c r="B96" s="88"/>
      <c r="C96" s="93">
        <v>0.2</v>
      </c>
      <c r="D96" s="93">
        <v>0.2</v>
      </c>
      <c r="E96" s="93">
        <v>0.2</v>
      </c>
      <c r="F96" s="93">
        <v>0.2</v>
      </c>
      <c r="G96" s="93">
        <v>0.2</v>
      </c>
    </row>
  </sheetData>
  <mergeCells count="30">
    <mergeCell ref="U42:W42"/>
    <mergeCell ref="Y42:AA42"/>
    <mergeCell ref="AC42:AE42"/>
    <mergeCell ref="J44:K44"/>
    <mergeCell ref="L44:N44"/>
    <mergeCell ref="U32:W32"/>
    <mergeCell ref="Y32:AA32"/>
    <mergeCell ref="AC32:AE32"/>
    <mergeCell ref="J33:K33"/>
    <mergeCell ref="J34:K34"/>
    <mergeCell ref="J32:L32"/>
    <mergeCell ref="M32:N32"/>
    <mergeCell ref="Q32:S32"/>
    <mergeCell ref="U24:W24"/>
    <mergeCell ref="Y24:AA24"/>
    <mergeCell ref="AC24:AE24"/>
    <mergeCell ref="J28:L28"/>
    <mergeCell ref="M28:N28"/>
    <mergeCell ref="Q28:S28"/>
    <mergeCell ref="U28:W28"/>
    <mergeCell ref="Y28:AA28"/>
    <mergeCell ref="AC28:AE28"/>
    <mergeCell ref="J24:K24"/>
    <mergeCell ref="L24:N24"/>
    <mergeCell ref="Q24:S24"/>
    <mergeCell ref="J36:L36"/>
    <mergeCell ref="Q42:S42"/>
    <mergeCell ref="I51:J51"/>
    <mergeCell ref="I56:J56"/>
    <mergeCell ref="A21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Sophrokhepri</vt:lpstr>
      <vt:lpstr>Début BP</vt:lpstr>
      <vt:lpstr>Structure des flux</vt:lpstr>
      <vt:lpstr>DECOUPAGE POUR PREZ</vt:lpstr>
      <vt:lpstr>'BP Sophrokhepri'!Zone_d_impression</vt:lpstr>
      <vt:lpstr>'Début BP'!Zone_d_impression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Utilisateur Windows</cp:lastModifiedBy>
  <cp:lastPrinted>2017-09-20T20:57:46Z</cp:lastPrinted>
  <dcterms:created xsi:type="dcterms:W3CDTF">2015-01-28T10:39:50Z</dcterms:created>
  <dcterms:modified xsi:type="dcterms:W3CDTF">2022-01-05T17:09:59Z</dcterms:modified>
</cp:coreProperties>
</file>