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2415" windowWidth="19440" windowHeight="7260" firstSheet="3" activeTab="6"/>
  </bookViews>
  <sheets>
    <sheet name="BP ev+JSC" sheetId="1" r:id="rId1"/>
    <sheet name="Début BP" sheetId="4" r:id="rId2"/>
    <sheet name="Structure des flux" sheetId="5" r:id="rId3"/>
    <sheet name="DECOUPAGE POUR PREZ" sheetId="2" r:id="rId4"/>
    <sheet name="Frais engagés" sheetId="3" r:id="rId5"/>
    <sheet name="Factures" sheetId="6" r:id="rId6"/>
    <sheet name="Travaux" sheetId="7" r:id="rId7"/>
    <sheet name="Honoraires" sheetId="8" r:id="rId8"/>
  </sheets>
  <definedNames>
    <definedName name="_xlnm.Print_Area" localSheetId="1">'Début BP'!$A$1:$G$58</definedName>
    <definedName name="_xlnm.Print_Area" localSheetId="5">Factures!$A$1:$L$35</definedName>
    <definedName name="_xlnm.Print_Area" localSheetId="4">'Frais engagés'!$A$1:$I$40</definedName>
    <definedName name="_xlnm.Print_Area" localSheetId="7">Honoraires!$A$1:$E$14</definedName>
    <definedName name="_xlnm.Print_Area" localSheetId="6">Travaux!$A$1:$F$26</definedName>
  </definedNames>
  <calcPr calcId="145621"/>
</workbook>
</file>

<file path=xl/calcChain.xml><?xml version="1.0" encoding="utf-8"?>
<calcChain xmlns="http://schemas.openxmlformats.org/spreadsheetml/2006/main">
  <c r="C13" i="8" l="1"/>
  <c r="C25" i="7" l="1"/>
  <c r="E12" i="8"/>
  <c r="C12" i="8"/>
  <c r="E25" i="7"/>
  <c r="C26" i="7" s="1"/>
  <c r="L33" i="6" l="1"/>
  <c r="J33" i="6"/>
  <c r="B35" i="6" s="1"/>
  <c r="E27" i="6"/>
  <c r="K33" i="6"/>
  <c r="G23" i="6"/>
  <c r="E26" i="6"/>
  <c r="E24" i="6"/>
  <c r="E25" i="6"/>
  <c r="C33" i="6"/>
  <c r="G9" i="6"/>
  <c r="G8" i="6"/>
  <c r="G16" i="6"/>
  <c r="G17" i="6"/>
  <c r="G18" i="6"/>
  <c r="G15" i="6"/>
  <c r="G12" i="6"/>
  <c r="G11" i="6"/>
  <c r="G5" i="6"/>
  <c r="G6" i="6"/>
  <c r="G7" i="6"/>
  <c r="G4" i="6"/>
  <c r="H13" i="6"/>
  <c r="H10" i="6"/>
  <c r="H33" i="6" s="1"/>
  <c r="E33" i="6" l="1"/>
  <c r="G33" i="6"/>
  <c r="H17" i="3"/>
  <c r="G17" i="3"/>
  <c r="H16" i="3"/>
  <c r="H15" i="3"/>
  <c r="H14" i="3"/>
  <c r="H13" i="3"/>
  <c r="D33" i="3"/>
  <c r="D26" i="3"/>
  <c r="D19" i="3"/>
  <c r="D27" i="3" s="1"/>
  <c r="C34" i="6" l="1"/>
  <c r="C37" i="3"/>
  <c r="C38" i="3"/>
  <c r="C39" i="3"/>
  <c r="C36" i="3"/>
  <c r="B40" i="3"/>
  <c r="C40" i="3" s="1"/>
  <c r="D10" i="3"/>
  <c r="D29" i="3" s="1"/>
  <c r="D91" i="2" l="1"/>
  <c r="D81" i="2" s="1"/>
  <c r="E91" i="2"/>
  <c r="E81" i="2" s="1"/>
  <c r="F91" i="2"/>
  <c r="F81" i="2" s="1"/>
  <c r="G91" i="2"/>
  <c r="G81" i="2" s="1"/>
  <c r="H91" i="2"/>
  <c r="H81" i="2" s="1"/>
  <c r="C91" i="2"/>
  <c r="C81" i="2" s="1"/>
  <c r="D78" i="2"/>
  <c r="E78" i="2"/>
  <c r="F78" i="2"/>
  <c r="G78" i="2"/>
  <c r="H78" i="2"/>
  <c r="C78" i="2"/>
  <c r="C75" i="2"/>
  <c r="C70" i="2"/>
  <c r="B70" i="2"/>
  <c r="D69" i="2"/>
  <c r="E69" i="2"/>
  <c r="F69" i="2"/>
  <c r="G69" i="2"/>
  <c r="H69" i="2"/>
  <c r="C69" i="2"/>
  <c r="B69" i="2"/>
  <c r="D59" i="2"/>
  <c r="E59" i="2"/>
  <c r="F59" i="2"/>
  <c r="G59" i="2"/>
  <c r="H59" i="2"/>
  <c r="C59" i="2"/>
  <c r="E55" i="2"/>
  <c r="F55" i="2"/>
  <c r="G55" i="2"/>
  <c r="H55" i="2"/>
  <c r="D55" i="2"/>
  <c r="C55" i="2"/>
  <c r="E49" i="2"/>
  <c r="F49" i="2"/>
  <c r="G49" i="2"/>
  <c r="H49" i="2"/>
  <c r="D49" i="2"/>
  <c r="C49" i="2"/>
  <c r="E48" i="2"/>
  <c r="F48" i="2"/>
  <c r="G48" i="2"/>
  <c r="H48" i="2"/>
  <c r="D48" i="2"/>
  <c r="C48" i="2"/>
  <c r="E45" i="2"/>
  <c r="F45" i="2"/>
  <c r="G45" i="2"/>
  <c r="H45" i="2"/>
  <c r="D45" i="2"/>
  <c r="C45" i="2"/>
  <c r="E44" i="2"/>
  <c r="F44" i="2"/>
  <c r="G44" i="2"/>
  <c r="H44" i="2"/>
  <c r="D44" i="2"/>
  <c r="C44" i="2"/>
  <c r="C43" i="2"/>
  <c r="B43" i="2"/>
  <c r="E42" i="2"/>
  <c r="F42" i="2"/>
  <c r="G42" i="2"/>
  <c r="H42" i="2"/>
  <c r="D42" i="2"/>
  <c r="C42" i="2"/>
  <c r="E41" i="2"/>
  <c r="F41" i="2"/>
  <c r="G41" i="2"/>
  <c r="H41" i="2"/>
  <c r="D41" i="2"/>
  <c r="C41" i="2"/>
  <c r="E40" i="2"/>
  <c r="F40" i="2"/>
  <c r="G40" i="2"/>
  <c r="H40" i="2"/>
  <c r="D40" i="2"/>
  <c r="C40" i="2"/>
  <c r="E39" i="2"/>
  <c r="F39" i="2"/>
  <c r="G39" i="2"/>
  <c r="H39" i="2"/>
  <c r="D39" i="2"/>
  <c r="C39" i="2"/>
  <c r="E38" i="2"/>
  <c r="F38" i="2"/>
  <c r="G38" i="2"/>
  <c r="H38" i="2"/>
  <c r="D38" i="2"/>
  <c r="C38" i="2"/>
  <c r="E37" i="2"/>
  <c r="F37" i="2"/>
  <c r="G37" i="2"/>
  <c r="H37" i="2"/>
  <c r="D37" i="2"/>
  <c r="C37" i="2"/>
  <c r="E36" i="2"/>
  <c r="F36" i="2"/>
  <c r="G36" i="2"/>
  <c r="H36" i="2"/>
  <c r="D36" i="2"/>
  <c r="C36" i="2"/>
  <c r="E35" i="2"/>
  <c r="F35" i="2"/>
  <c r="G35" i="2"/>
  <c r="H35" i="2"/>
  <c r="D35" i="2"/>
  <c r="C35" i="2"/>
  <c r="E34" i="2"/>
  <c r="F34" i="2"/>
  <c r="G34" i="2"/>
  <c r="H34" i="2"/>
  <c r="D34" i="2"/>
  <c r="C34" i="2"/>
  <c r="E31" i="2"/>
  <c r="F31" i="2"/>
  <c r="G31" i="2"/>
  <c r="H31" i="2"/>
  <c r="D31" i="2"/>
  <c r="C31" i="2"/>
  <c r="E30" i="2"/>
  <c r="F30" i="2"/>
  <c r="G30" i="2"/>
  <c r="H30" i="2"/>
  <c r="D30" i="2"/>
  <c r="C30" i="2"/>
  <c r="E27" i="2"/>
  <c r="F27" i="2"/>
  <c r="G27" i="2"/>
  <c r="H27" i="2"/>
  <c r="D27" i="2"/>
  <c r="C27" i="2"/>
  <c r="E26" i="2"/>
  <c r="F26" i="2"/>
  <c r="G26" i="2"/>
  <c r="H26" i="2"/>
  <c r="D26" i="2"/>
  <c r="C26" i="2"/>
  <c r="D25" i="2"/>
  <c r="E25" i="2"/>
  <c r="F25" i="2"/>
  <c r="G25" i="2"/>
  <c r="H25" i="2"/>
  <c r="C25" i="2"/>
  <c r="D29" i="2"/>
  <c r="E29" i="2"/>
  <c r="F29" i="2"/>
  <c r="G29" i="2"/>
  <c r="H29" i="2"/>
  <c r="C29" i="2"/>
  <c r="I18" i="2" l="1"/>
  <c r="B41" i="1"/>
  <c r="E28" i="2"/>
  <c r="F28" i="2"/>
  <c r="G28" i="2"/>
  <c r="H28" i="2"/>
  <c r="D28" i="2"/>
  <c r="B34" i="1"/>
  <c r="B35" i="1"/>
  <c r="E9" i="1"/>
  <c r="F9" i="1" s="1"/>
  <c r="G9" i="1" s="1"/>
  <c r="H9" i="1" s="1"/>
  <c r="D9" i="1"/>
  <c r="C9" i="1"/>
  <c r="C8" i="1"/>
  <c r="M22" i="1"/>
  <c r="B75" i="2"/>
  <c r="B63" i="2" l="1"/>
  <c r="B83" i="2" s="1"/>
  <c r="B84" i="2" s="1"/>
  <c r="B85" i="2" s="1"/>
  <c r="K62" i="2"/>
  <c r="K57" i="2"/>
  <c r="H54" i="2"/>
  <c r="G54" i="2"/>
  <c r="F54" i="2"/>
  <c r="E54" i="2"/>
  <c r="D54" i="2"/>
  <c r="C54" i="2"/>
  <c r="E18" i="2"/>
  <c r="D14" i="2"/>
  <c r="G14" i="2" s="1"/>
  <c r="D6" i="2"/>
  <c r="E6" i="2" s="1"/>
  <c r="G6" i="2" s="1"/>
  <c r="D10" i="2" s="1"/>
  <c r="F10" i="2" s="1"/>
  <c r="A1" i="2"/>
  <c r="A3" i="2" s="1"/>
  <c r="C63" i="2" l="1"/>
  <c r="B24" i="1"/>
  <c r="C24" i="1" s="1"/>
  <c r="K35" i="1"/>
  <c r="K40" i="1"/>
  <c r="D63" i="2" l="1"/>
  <c r="C83" i="2"/>
  <c r="C84" i="2" s="1"/>
  <c r="C85" i="2" s="1"/>
  <c r="E19" i="1"/>
  <c r="G19" i="1" s="1"/>
  <c r="H19" i="1" s="1"/>
  <c r="F18" i="1"/>
  <c r="I6" i="1"/>
  <c r="D66" i="1"/>
  <c r="D48" i="1" s="1"/>
  <c r="E52" i="1"/>
  <c r="E54" i="1"/>
  <c r="F54" i="1" s="1"/>
  <c r="G54" i="1" s="1"/>
  <c r="H54" i="1" s="1"/>
  <c r="E55" i="1"/>
  <c r="F55" i="1"/>
  <c r="G55" i="1"/>
  <c r="H55" i="1"/>
  <c r="E46" i="1"/>
  <c r="F46" i="1" s="1"/>
  <c r="G46" i="1" s="1"/>
  <c r="H46" i="1" s="1"/>
  <c r="E47" i="1"/>
  <c r="F47" i="1"/>
  <c r="G47" i="1"/>
  <c r="H47" i="1"/>
  <c r="D54" i="1"/>
  <c r="D55" i="1"/>
  <c r="D46" i="1"/>
  <c r="D47" i="1"/>
  <c r="D52" i="1"/>
  <c r="E22" i="1"/>
  <c r="D22" i="1"/>
  <c r="C52" i="1"/>
  <c r="C22" i="1"/>
  <c r="C54" i="1"/>
  <c r="C55" i="1"/>
  <c r="C47" i="1"/>
  <c r="D62" i="1"/>
  <c r="E62" i="1"/>
  <c r="F62" i="1"/>
  <c r="G62" i="1"/>
  <c r="H62" i="1"/>
  <c r="C62" i="1"/>
  <c r="C46" i="1"/>
  <c r="B44" i="1"/>
  <c r="B54" i="1"/>
  <c r="B52" i="1"/>
  <c r="B58" i="1"/>
  <c r="B45" i="1"/>
  <c r="B50" i="1" s="1"/>
  <c r="D43" i="1"/>
  <c r="E43" i="1"/>
  <c r="F43" i="1"/>
  <c r="G43" i="1"/>
  <c r="H43" i="1"/>
  <c r="C43" i="1"/>
  <c r="F17" i="1"/>
  <c r="G17" i="1"/>
  <c r="H17" i="1"/>
  <c r="F20" i="1"/>
  <c r="G20" i="1"/>
  <c r="H20" i="1" s="1"/>
  <c r="F21" i="1"/>
  <c r="G21" i="1"/>
  <c r="H21" i="1"/>
  <c r="D21" i="1"/>
  <c r="D20" i="1"/>
  <c r="E20" i="1" s="1"/>
  <c r="E21" i="1"/>
  <c r="E18" i="1"/>
  <c r="E17" i="1"/>
  <c r="E13" i="1"/>
  <c r="F13" i="1"/>
  <c r="G13" i="1"/>
  <c r="H13" i="1"/>
  <c r="E14" i="1"/>
  <c r="F14" i="1"/>
  <c r="G14" i="1"/>
  <c r="H14" i="1"/>
  <c r="D14" i="1"/>
  <c r="D13" i="1"/>
  <c r="D12" i="1"/>
  <c r="E12" i="1" s="1"/>
  <c r="F12" i="1" s="1"/>
  <c r="G12" i="1" s="1"/>
  <c r="H12" i="1" s="1"/>
  <c r="E63" i="2" l="1"/>
  <c r="D83" i="2"/>
  <c r="D84" i="2" s="1"/>
  <c r="C45" i="1"/>
  <c r="D45" i="1" s="1"/>
  <c r="G18" i="1"/>
  <c r="F66" i="1"/>
  <c r="F48" i="1" s="1"/>
  <c r="E66" i="1"/>
  <c r="E48" i="1" s="1"/>
  <c r="F22" i="1"/>
  <c r="F52" i="1" s="1"/>
  <c r="B59" i="1"/>
  <c r="B60" i="1" s="1"/>
  <c r="C32" i="1"/>
  <c r="C17" i="1"/>
  <c r="C66" i="1" s="1"/>
  <c r="C15" i="1"/>
  <c r="D15" i="1" s="1"/>
  <c r="E15" i="1" s="1"/>
  <c r="F15" i="1" s="1"/>
  <c r="G15" i="1" s="1"/>
  <c r="H15" i="1" s="1"/>
  <c r="E16" i="1"/>
  <c r="F16" i="1" s="1"/>
  <c r="G16" i="1" s="1"/>
  <c r="H16" i="1" s="1"/>
  <c r="C11" i="1"/>
  <c r="D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D4" i="1"/>
  <c r="D32" i="1" s="1"/>
  <c r="A1" i="1"/>
  <c r="A3" i="1" s="1"/>
  <c r="E45" i="1" l="1"/>
  <c r="D70" i="2"/>
  <c r="F63" i="2"/>
  <c r="E83" i="2"/>
  <c r="E84" i="2" s="1"/>
  <c r="C64" i="1"/>
  <c r="C56" i="1" s="1"/>
  <c r="C25" i="1"/>
  <c r="H18" i="1"/>
  <c r="H66" i="1" s="1"/>
  <c r="H48" i="1" s="1"/>
  <c r="G66" i="1"/>
  <c r="G48" i="1" s="1"/>
  <c r="G22" i="1"/>
  <c r="G52" i="1" s="1"/>
  <c r="C48" i="1"/>
  <c r="C67" i="1"/>
  <c r="E11" i="1"/>
  <c r="E4" i="1"/>
  <c r="C48" i="4"/>
  <c r="C50" i="4" s="1"/>
  <c r="C53" i="4" s="1"/>
  <c r="E53" i="4" s="1"/>
  <c r="F48" i="4"/>
  <c r="F50" i="4"/>
  <c r="D6" i="1"/>
  <c r="F45" i="1" l="1"/>
  <c r="E70" i="2"/>
  <c r="G63" i="2"/>
  <c r="F83" i="2"/>
  <c r="F84" i="2" s="1"/>
  <c r="H22" i="1"/>
  <c r="H52" i="1" s="1"/>
  <c r="C68" i="1"/>
  <c r="C37" i="1" s="1"/>
  <c r="C26" i="1"/>
  <c r="C29" i="1"/>
  <c r="C30" i="1" s="1"/>
  <c r="C33" i="1" s="1"/>
  <c r="F11" i="1"/>
  <c r="E6" i="1"/>
  <c r="D10" i="1"/>
  <c r="E32" i="1"/>
  <c r="F4" i="1"/>
  <c r="C54" i="4"/>
  <c r="G45" i="1" l="1"/>
  <c r="F70" i="2"/>
  <c r="H63" i="2"/>
  <c r="H83" i="2" s="1"/>
  <c r="H84" i="2" s="1"/>
  <c r="G83" i="2"/>
  <c r="G84" i="2" s="1"/>
  <c r="D64" i="1"/>
  <c r="C41" i="1"/>
  <c r="C44" i="1"/>
  <c r="G11" i="1"/>
  <c r="F6" i="1"/>
  <c r="E10" i="1"/>
  <c r="F32" i="1"/>
  <c r="G4" i="1"/>
  <c r="C55" i="4"/>
  <c r="E54" i="4"/>
  <c r="H45" i="1" l="1"/>
  <c r="H70" i="2" s="1"/>
  <c r="G70" i="2"/>
  <c r="D67" i="1"/>
  <c r="D56" i="1"/>
  <c r="C50" i="1"/>
  <c r="E64" i="1"/>
  <c r="C58" i="1"/>
  <c r="H11" i="1"/>
  <c r="G32" i="1"/>
  <c r="H4" i="1"/>
  <c r="H32" i="1" s="1"/>
  <c r="G6" i="1"/>
  <c r="F10" i="1"/>
  <c r="E55" i="4"/>
  <c r="C56" i="4"/>
  <c r="E56" i="1" l="1"/>
  <c r="E67" i="1"/>
  <c r="D68" i="1"/>
  <c r="D37" i="1" s="1"/>
  <c r="F64" i="1"/>
  <c r="H6" i="1"/>
  <c r="H10" i="1" s="1"/>
  <c r="G10" i="1"/>
  <c r="C57" i="4"/>
  <c r="E57" i="4" s="1"/>
  <c r="E56" i="4"/>
  <c r="H64" i="1" l="1"/>
  <c r="H56" i="1" s="1"/>
  <c r="F56" i="1"/>
  <c r="F67" i="1"/>
  <c r="F68" i="1" s="1"/>
  <c r="F37" i="1" s="1"/>
  <c r="G64" i="1"/>
  <c r="E68" i="1"/>
  <c r="E37" i="1" s="1"/>
  <c r="C53" i="1"/>
  <c r="C59" i="1"/>
  <c r="C60" i="1" s="1"/>
  <c r="D23" i="1" l="1"/>
  <c r="D25" i="1" s="1"/>
  <c r="H67" i="1"/>
  <c r="G56" i="1"/>
  <c r="G67" i="1"/>
  <c r="D26" i="1" l="1"/>
  <c r="D29" i="1"/>
  <c r="D30" i="1" s="1"/>
  <c r="D53" i="1"/>
  <c r="H68" i="1"/>
  <c r="H37" i="1" s="1"/>
  <c r="G68" i="1"/>
  <c r="G37" i="1" s="1"/>
  <c r="E53" i="1" l="1"/>
  <c r="F23" i="1" s="1"/>
  <c r="E23" i="1"/>
  <c r="E25" i="1" s="1"/>
  <c r="D33" i="1"/>
  <c r="D41" i="1" s="1"/>
  <c r="D44" i="1"/>
  <c r="F53" i="1" l="1"/>
  <c r="F25" i="1"/>
  <c r="D58" i="1"/>
  <c r="D59" i="1" s="1"/>
  <c r="D60" i="1" s="1"/>
  <c r="E26" i="1"/>
  <c r="E29" i="1"/>
  <c r="E30" i="1" s="1"/>
  <c r="E33" i="1" s="1"/>
  <c r="E41" i="1" s="1"/>
  <c r="E44" i="1"/>
  <c r="D50" i="1"/>
  <c r="D75" i="2" s="1"/>
  <c r="D85" i="2" s="1"/>
  <c r="E58" i="1" l="1"/>
  <c r="E59" i="1" s="1"/>
  <c r="E50" i="1"/>
  <c r="E75" i="2" s="1"/>
  <c r="E85" i="2" s="1"/>
  <c r="F29" i="1"/>
  <c r="F30" i="1" s="1"/>
  <c r="F33" i="1" s="1"/>
  <c r="F41" i="1" s="1"/>
  <c r="F26" i="1"/>
  <c r="G53" i="1"/>
  <c r="G23" i="1"/>
  <c r="G25" i="1" s="1"/>
  <c r="F58" i="1" l="1"/>
  <c r="F59" i="1" s="1"/>
  <c r="E60" i="1"/>
  <c r="G26" i="1"/>
  <c r="G29" i="1"/>
  <c r="G30" i="1" s="1"/>
  <c r="G33" i="1" s="1"/>
  <c r="G41" i="1" s="1"/>
  <c r="F44" i="1"/>
  <c r="H53" i="1"/>
  <c r="H23" i="1"/>
  <c r="H25" i="1" s="1"/>
  <c r="G58" i="1" l="1"/>
  <c r="G59" i="1" s="1"/>
  <c r="H29" i="1"/>
  <c r="H30" i="1" s="1"/>
  <c r="H33" i="1" s="1"/>
  <c r="H41" i="1" s="1"/>
  <c r="H58" i="1" s="1"/>
  <c r="H59" i="1" s="1"/>
  <c r="H26" i="1"/>
  <c r="F50" i="1"/>
  <c r="F75" i="2" s="1"/>
  <c r="F85" i="2" s="1"/>
  <c r="G44" i="1"/>
  <c r="F60" i="1" l="1"/>
  <c r="H44" i="1"/>
  <c r="H50" i="1" s="1"/>
  <c r="H75" i="2" s="1"/>
  <c r="H85" i="2" s="1"/>
  <c r="G50" i="1"/>
  <c r="G60" i="1" l="1"/>
  <c r="G75" i="2"/>
  <c r="G85" i="2" s="1"/>
  <c r="H60" i="1"/>
</calcChain>
</file>

<file path=xl/sharedStrings.xml><?xml version="1.0" encoding="utf-8"?>
<sst xmlns="http://schemas.openxmlformats.org/spreadsheetml/2006/main" count="590" uniqueCount="365">
  <si>
    <t>15M</t>
  </si>
  <si>
    <t>MAD cabines</t>
  </si>
  <si>
    <t>Comm sur CA thera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</si>
  <si>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</si>
  <si>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</si>
  <si>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</si>
  <si>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</si>
  <si>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</si>
  <si>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</si>
  <si>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</si>
  <si>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</si>
  <si>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</si>
  <si>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</si>
  <si>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</si>
  <si>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</si>
  <si>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</si>
  <si>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</si>
  <si>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</si>
  <si>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</si>
  <si>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</si>
  <si>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</si>
  <si>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</si>
  <si>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</si>
  <si>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</si>
  <si>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</si>
  <si>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</si>
  <si>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</si>
  <si>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</si>
  <si>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</si>
  <si>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</si>
  <si>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</si>
  <si>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</si>
  <si>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</si>
  <si>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</si>
  <si>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</si>
  <si>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</si>
  <si>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</si>
  <si>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</si>
  <si>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</si>
  <si>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</si>
  <si>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</si>
  <si>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</si>
  <si>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</si>
  <si>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</si>
  <si>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</si>
  <si>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</si>
  <si>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</si>
  <si>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</si>
  <si>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</si>
  <si>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</si>
  <si>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</si>
  <si>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</si>
  <si>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</si>
  <si>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</si>
  <si>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</si>
  <si>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</si>
  <si>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</si>
  <si>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</si>
  <si>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</si>
  <si>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</si>
  <si>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</si>
  <si>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</si>
  <si>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</si>
  <si>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</si>
  <si>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</si>
  <si>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</si>
  <si>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</si>
  <si>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</si>
  <si>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</si>
  <si>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</si>
  <si>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</si>
  <si>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</si>
  <si>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</si>
  <si>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</si>
  <si>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</si>
  <si>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</si>
  <si>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</si>
  <si>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</si>
  <si>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</si>
  <si>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</si>
  <si>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</si>
  <si>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</si>
  <si>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</si>
  <si>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</si>
  <si>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</si>
  <si>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</si>
  <si>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</si>
  <si>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</si>
  <si>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</si>
  <si>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</si>
  <si>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</si>
  <si>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</si>
  <si>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</si>
  <si>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</si>
  <si>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</si>
  <si>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</si>
  <si>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</si>
  <si>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</si>
  <si>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</si>
  <si>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</si>
  <si>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</si>
  <si>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</si>
  <si>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</si>
  <si>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</si>
  <si>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</si>
  <si>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</si>
  <si>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</si>
  <si>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</si>
  <si>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</si>
  <si>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</si>
  <si>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</si>
  <si>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</si>
  <si>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</si>
  <si>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</si>
  <si>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</si>
  <si>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</si>
  <si>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</si>
  <si>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</si>
  <si>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</si>
  <si>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</si>
  <si>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</si>
  <si>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</si>
  <si>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</si>
  <si>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</si>
  <si>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</si>
  <si>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</si>
  <si>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</si>
  <si>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</si>
  <si>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</si>
  <si>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</si>
  <si>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</si>
  <si>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</si>
  <si>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</si>
  <si>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</si>
  <si>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</si>
  <si>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</si>
  <si>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</si>
  <si>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</si>
  <si>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</si>
  <si>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</si>
  <si>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</si>
  <si>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</si>
  <si>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</si>
  <si>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</si>
  <si>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</si>
  <si>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</si>
  <si>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</si>
  <si>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</si>
  <si>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</si>
  <si>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</si>
  <si>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</si>
  <si>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</si>
  <si>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</si>
  <si>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</si>
  <si>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</si>
  <si>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</si>
  <si>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</si>
  <si>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</si>
  <si>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</si>
  <si>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</si>
  <si>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</si>
  <si>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</si>
  <si>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</si>
  <si>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</si>
  <si>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</si>
  <si>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</si>
  <si>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</si>
  <si>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</si>
  <si>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</si>
  <si>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</si>
  <si>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</si>
  <si>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</si>
  <si>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</si>
  <si>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</si>
  <si>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</si>
  <si>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</si>
  <si>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</si>
  <si>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</si>
  <si>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</si>
  <si>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</si>
  <si>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</si>
  <si>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</si>
  <si>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</si>
  <si>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</si>
  <si>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</si>
  <si>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</si>
  <si>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</si>
  <si>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</si>
  <si>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</si>
  <si>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MAXI</t>
  </si>
  <si>
    <t>Tx rempl</t>
  </si>
  <si>
    <t>Hôtesses</t>
  </si>
  <si>
    <t>Informaticien</t>
  </si>
  <si>
    <t>EVELYNE</t>
  </si>
  <si>
    <t>AUTRES</t>
  </si>
  <si>
    <t>CAPITAL</t>
  </si>
  <si>
    <t>Evelyne</t>
  </si>
  <si>
    <t>Autres</t>
  </si>
  <si>
    <t>total</t>
  </si>
  <si>
    <t>Crowd Funding</t>
  </si>
  <si>
    <t>Cptes financement</t>
  </si>
  <si>
    <t>CPTES EXPLOITATION</t>
  </si>
  <si>
    <t>Nombre de forfaits thérapeutes</t>
  </si>
  <si>
    <t>Heure/cab.</t>
  </si>
  <si>
    <t>Mise à disposition de cabines</t>
  </si>
  <si>
    <t>Px/h 10,90</t>
  </si>
  <si>
    <t>CA max k€</t>
  </si>
  <si>
    <t>k€</t>
  </si>
  <si>
    <t>H à vendre</t>
  </si>
  <si>
    <t>H/forfait</t>
  </si>
  <si>
    <t>Salles</t>
  </si>
  <si>
    <t>Nbre h</t>
  </si>
  <si>
    <t>Nbre forfaits</t>
  </si>
  <si>
    <t>Prix/For/An</t>
  </si>
  <si>
    <t>Nbre h/an</t>
  </si>
  <si>
    <t>Taux</t>
  </si>
  <si>
    <t xml:space="preserve">Prix </t>
  </si>
  <si>
    <t>Salaires</t>
  </si>
  <si>
    <t>Commission</t>
  </si>
  <si>
    <t>Cabines</t>
  </si>
  <si>
    <t>en 2020</t>
  </si>
  <si>
    <t>MAD salles formation</t>
  </si>
  <si>
    <t>Rému chargée Dirig</t>
  </si>
  <si>
    <t>Divers imprévus</t>
  </si>
  <si>
    <t>Tx Aug.</t>
  </si>
  <si>
    <t>Social fiscal</t>
  </si>
  <si>
    <t>Cap. Propres</t>
  </si>
  <si>
    <t>Total actif</t>
  </si>
  <si>
    <t>Jours stocks</t>
  </si>
  <si>
    <t>Jours clients</t>
  </si>
  <si>
    <t>Jours fournisseurs</t>
  </si>
  <si>
    <t>COMPTE EXPLOITATION</t>
  </si>
  <si>
    <t>CONSTRUCTION CA</t>
  </si>
  <si>
    <t>CA Dirigeante</t>
  </si>
  <si>
    <t>Prix séance</t>
  </si>
  <si>
    <t>RV Patients</t>
  </si>
  <si>
    <t>CA k€</t>
  </si>
  <si>
    <t>Cap. propres</t>
  </si>
  <si>
    <t>BUSINESS PLAN SOPHROKHEPRI</t>
  </si>
  <si>
    <t>autres achat et charges externes</t>
  </si>
  <si>
    <t>Frais de commission Sparkup</t>
  </si>
  <si>
    <t>MBA Marges brute d'autofinancement</t>
  </si>
  <si>
    <t xml:space="preserve">BFR : </t>
  </si>
  <si>
    <t>100 jours par rapport au CA</t>
  </si>
  <si>
    <t>Travaux et aménagement amortissable</t>
  </si>
  <si>
    <t>COMPTE DE FINANCEMENTS</t>
  </si>
  <si>
    <t>15 mois</t>
  </si>
  <si>
    <t>12 mois</t>
  </si>
  <si>
    <t>Portage salarial</t>
  </si>
  <si>
    <t>Bulletins salaires thérapeutes en portage</t>
  </si>
  <si>
    <t>Comptabilité</t>
  </si>
  <si>
    <t>Autres Achats Ch. Ext.</t>
  </si>
  <si>
    <t>Travaux décoration ammeublement</t>
  </si>
  <si>
    <t>Frais commission Sparkup</t>
  </si>
  <si>
    <t>Frais financiers</t>
  </si>
  <si>
    <t>D42 1/5ème amortissement travaux</t>
  </si>
  <si>
    <t>Dépôt de garantie bail commercial</t>
  </si>
  <si>
    <t>1/5ème amortissement travaux</t>
  </si>
  <si>
    <t>Honoraires agence immob.</t>
  </si>
  <si>
    <t>Mise à disposition salles formation</t>
  </si>
  <si>
    <t>Factures et devis lancement projet</t>
  </si>
  <si>
    <t>Dates</t>
  </si>
  <si>
    <t>Montants</t>
  </si>
  <si>
    <t>Factures</t>
  </si>
  <si>
    <t>N°528</t>
  </si>
  <si>
    <t>Biotiful Design</t>
  </si>
  <si>
    <t>N°4109</t>
  </si>
  <si>
    <t>N°214</t>
  </si>
  <si>
    <t>SOCOTEC</t>
  </si>
  <si>
    <t>CRACIUN Bat.</t>
  </si>
  <si>
    <t>EVOLIS</t>
  </si>
  <si>
    <t>n° FA 3736</t>
  </si>
  <si>
    <t>n° 20145217</t>
  </si>
  <si>
    <t>Equip'Office</t>
  </si>
  <si>
    <t>Réglt acompte</t>
  </si>
  <si>
    <t>DEVIS</t>
  </si>
  <si>
    <t>n° 1502280S000000174/1</t>
  </si>
  <si>
    <t>Site Web</t>
  </si>
  <si>
    <t>Loyer TTC</t>
  </si>
  <si>
    <t>Charges locatives</t>
  </si>
  <si>
    <t>Taxe foncière</t>
  </si>
  <si>
    <t>Taxe Bureau IDF</t>
  </si>
  <si>
    <t xml:space="preserve">Décomposition Loyer </t>
  </si>
  <si>
    <t>Annuel</t>
  </si>
  <si>
    <t>Trimestriel</t>
  </si>
  <si>
    <t>Loyer Trim. Avril 2015</t>
  </si>
  <si>
    <t>Total réglé</t>
  </si>
  <si>
    <t>TOTAL</t>
  </si>
  <si>
    <t>Levée de fonds Crowdfunding</t>
  </si>
  <si>
    <t>Banque</t>
  </si>
  <si>
    <t>Fonds propres déjà investis</t>
  </si>
  <si>
    <t>n° 2415*</t>
  </si>
  <si>
    <t>*Règlement en 3 fois : 15928, 11946, 11946</t>
  </si>
  <si>
    <t>Estimation</t>
  </si>
  <si>
    <t>Meubles &amp; Accessoires</t>
  </si>
  <si>
    <t>Revêtements sol (parquet)</t>
  </si>
  <si>
    <t>Revêtments muraux</t>
  </si>
  <si>
    <t>Textiles Rideaux</t>
  </si>
  <si>
    <t>Divers</t>
  </si>
  <si>
    <t>Travaux 2ème versement</t>
  </si>
  <si>
    <t>Travaux 3ème versement</t>
  </si>
  <si>
    <t xml:space="preserve">Honoraires </t>
  </si>
  <si>
    <t>Simplebo</t>
  </si>
  <si>
    <t>Estimatioin d'aménagement et déco ci-contre</t>
  </si>
  <si>
    <t>Estimation finitions et déco</t>
  </si>
  <si>
    <t>TOTAL Besoin financement loyer compris</t>
  </si>
  <si>
    <t>Frais Installation à venir, loyer Trim.1 compris</t>
  </si>
  <si>
    <t>TOTAL financement</t>
  </si>
  <si>
    <t xml:space="preserve">Loyer </t>
  </si>
  <si>
    <t>Décomposition</t>
  </si>
  <si>
    <t>RECAPITULATIF DES FACTURES REGLEES ET DEVIS</t>
  </si>
  <si>
    <t>Montant</t>
  </si>
  <si>
    <t>Date</t>
  </si>
  <si>
    <t>Type</t>
  </si>
  <si>
    <t>Matériaux</t>
  </si>
  <si>
    <t>Mobilier</t>
  </si>
  <si>
    <t>Honoraires</t>
  </si>
  <si>
    <t>Travaux</t>
  </si>
  <si>
    <t>réglé</t>
  </si>
  <si>
    <t>réglt partiel</t>
  </si>
  <si>
    <t>Acompte 4200</t>
  </si>
  <si>
    <t>Equip'Office :</t>
  </si>
  <si>
    <t>Rideaux</t>
  </si>
  <si>
    <t>Mat et MO</t>
  </si>
  <si>
    <t>N° 842</t>
  </si>
  <si>
    <t>A émettre</t>
  </si>
  <si>
    <t>N° 042/15</t>
  </si>
  <si>
    <t>Réglé</t>
  </si>
  <si>
    <t>N° 1085</t>
  </si>
  <si>
    <t>N° 528</t>
  </si>
  <si>
    <t>N° 4109</t>
  </si>
  <si>
    <t>N° 214</t>
  </si>
  <si>
    <t>N° 945</t>
  </si>
  <si>
    <t>Réglés</t>
  </si>
  <si>
    <t>Contôle Total</t>
  </si>
  <si>
    <t>N° 20155222</t>
  </si>
  <si>
    <t>N° 20155221</t>
  </si>
  <si>
    <t>N° 20155220</t>
  </si>
  <si>
    <t>N° 20155223</t>
  </si>
  <si>
    <t>Balisages Vitres</t>
  </si>
  <si>
    <t>Papier Buddah YEDA</t>
  </si>
  <si>
    <t>Au fil des couleurs</t>
  </si>
  <si>
    <t>N°</t>
  </si>
  <si>
    <t>DE5589</t>
  </si>
  <si>
    <t>Parquet acompte</t>
  </si>
  <si>
    <t>Parquet livraison</t>
  </si>
  <si>
    <t>Revet. Murs</t>
  </si>
  <si>
    <t>IKEA</t>
  </si>
  <si>
    <t>DARTY (frigo)</t>
  </si>
  <si>
    <t>St Maclou (Rideaux)</t>
  </si>
  <si>
    <t>150369/280S0</t>
  </si>
  <si>
    <t>DARTY (TV,Retro)</t>
  </si>
  <si>
    <t>Meubles</t>
  </si>
  <si>
    <t>FACTURES</t>
  </si>
  <si>
    <t>TOTAL Devis</t>
  </si>
  <si>
    <t>D2015-03-15</t>
  </si>
  <si>
    <t>Simplebo sit web</t>
  </si>
  <si>
    <t>Multimedia</t>
  </si>
  <si>
    <t xml:space="preserve">Parquet </t>
  </si>
  <si>
    <t>SMIR Climatisation</t>
  </si>
  <si>
    <t>EVOLIS (frais d'agence immobiliere)</t>
  </si>
  <si>
    <t>Equip'Office (dépôt de garantie)</t>
  </si>
  <si>
    <t>Loyer TTC (Trim 1)</t>
  </si>
  <si>
    <t>FACTURES TRAVAUX ET MOBILIER REGLEES ET DEVIS A VENIR</t>
  </si>
  <si>
    <t>RECAPITULATIF DES FACTURES HONORAIRES (a considérer comme apport)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</si>
</sst>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Border="1"/>
    <xf numFmtId="9" fontId="4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9" fontId="0" fillId="0" borderId="1" xfId="1" applyFont="1" applyFill="1" applyBorder="1"/>
    <xf numFmtId="9" fontId="0" fillId="0" borderId="0" xfId="0" applyNumberFormat="1" applyFill="1" applyBorder="1"/>
    <xf numFmtId="0" fontId="4" fillId="0" borderId="0" xfId="0" applyFont="1" applyFill="1" applyBorder="1"/>
    <xf numFmtId="165" fontId="4" fillId="0" borderId="0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2" xfId="0" applyFont="1" applyBorder="1"/>
    <xf numFmtId="165" fontId="13" fillId="0" borderId="1" xfId="0" applyNumberFormat="1" applyFont="1" applyBorder="1"/>
    <xf numFmtId="0" fontId="13" fillId="0" borderId="1" xfId="0" applyFont="1" applyBorder="1"/>
    <xf numFmtId="9" fontId="13" fillId="0" borderId="1" xfId="1" applyFont="1" applyBorder="1"/>
    <xf numFmtId="0" fontId="13" fillId="0" borderId="0" xfId="0" applyFont="1"/>
    <xf numFmtId="0" fontId="13" fillId="0" borderId="0" xfId="0" applyFont="1" applyFill="1" applyBorder="1"/>
    <xf numFmtId="0" fontId="0" fillId="0" borderId="0" xfId="0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9" fontId="0" fillId="0" borderId="1" xfId="1" applyFont="1" applyFill="1" applyBorder="1" applyAlignment="1">
      <alignment horizontal="center"/>
    </xf>
    <xf numFmtId="165" fontId="0" fillId="0" borderId="22" xfId="0" applyNumberFormat="1" applyFill="1" applyBorder="1"/>
    <xf numFmtId="14" fontId="0" fillId="0" borderId="1" xfId="0" applyNumberFormat="1" applyBorder="1"/>
    <xf numFmtId="4" fontId="0" fillId="0" borderId="1" xfId="0" applyNumberFormat="1" applyBorder="1"/>
    <xf numFmtId="0" fontId="0" fillId="10" borderId="1" xfId="0" applyFill="1" applyBorder="1"/>
    <xf numFmtId="0" fontId="4" fillId="10" borderId="1" xfId="0" applyFont="1" applyFill="1" applyBorder="1"/>
    <xf numFmtId="0" fontId="0" fillId="0" borderId="1" xfId="0" applyFont="1" applyBorder="1"/>
    <xf numFmtId="3" fontId="0" fillId="0" borderId="1" xfId="0" applyNumberFormat="1" applyFont="1" applyBorder="1"/>
    <xf numFmtId="0" fontId="5" fillId="0" borderId="0" xfId="0" applyFont="1"/>
    <xf numFmtId="3" fontId="0" fillId="0" borderId="0" xfId="0" applyNumberFormat="1" applyFont="1" applyBorder="1"/>
    <xf numFmtId="4" fontId="0" fillId="0" borderId="0" xfId="0" applyNumberFormat="1" applyBorder="1"/>
    <xf numFmtId="0" fontId="4" fillId="3" borderId="0" xfId="0" applyFont="1" applyFill="1" applyBorder="1"/>
    <xf numFmtId="0" fontId="0" fillId="3" borderId="0" xfId="0" applyFill="1" applyBorder="1"/>
    <xf numFmtId="4" fontId="4" fillId="0" borderId="1" xfId="0" applyNumberFormat="1" applyFont="1" applyBorder="1"/>
    <xf numFmtId="4" fontId="4" fillId="10" borderId="1" xfId="0" applyNumberFormat="1" applyFont="1" applyFill="1" applyBorder="1"/>
    <xf numFmtId="3" fontId="4" fillId="0" borderId="1" xfId="0" applyNumberFormat="1" applyFont="1" applyBorder="1"/>
    <xf numFmtId="0" fontId="4" fillId="0" borderId="0" xfId="0" applyFont="1" applyBorder="1"/>
    <xf numFmtId="0" fontId="0" fillId="0" borderId="0" xfId="0" applyFont="1" applyBorder="1"/>
    <xf numFmtId="0" fontId="4" fillId="10" borderId="1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0" fillId="11" borderId="1" xfId="0" applyFill="1" applyBorder="1"/>
    <xf numFmtId="0" fontId="4" fillId="11" borderId="4" xfId="0" applyFont="1" applyFill="1" applyBorder="1" applyAlignment="1">
      <alignment horizontal="center"/>
    </xf>
    <xf numFmtId="0" fontId="0" fillId="11" borderId="23" xfId="0" applyFill="1" applyBorder="1"/>
    <xf numFmtId="0" fontId="4" fillId="11" borderId="9" xfId="0" applyFont="1" applyFill="1" applyBorder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0" fillId="11" borderId="2" xfId="0" applyFill="1" applyBorder="1"/>
    <xf numFmtId="0" fontId="0" fillId="11" borderId="5" xfId="0" applyFill="1" applyBorder="1"/>
    <xf numFmtId="0" fontId="4" fillId="11" borderId="1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4" fillId="11" borderId="3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/>
    </xf>
    <xf numFmtId="0" fontId="0" fillId="11" borderId="6" xfId="0" applyFill="1" applyBorder="1" applyAlignment="1">
      <alignment horizontal="right"/>
    </xf>
    <xf numFmtId="0" fontId="0" fillId="11" borderId="7" xfId="0" applyFill="1" applyBorder="1"/>
    <xf numFmtId="0" fontId="4" fillId="0" borderId="25" xfId="0" applyFont="1" applyBorder="1"/>
    <xf numFmtId="0" fontId="4" fillId="0" borderId="25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11" borderId="26" xfId="0" applyFont="1" applyFill="1" applyBorder="1" applyAlignment="1">
      <alignment horizontal="right"/>
    </xf>
    <xf numFmtId="0" fontId="4" fillId="11" borderId="25" xfId="0" applyFont="1" applyFill="1" applyBorder="1"/>
    <xf numFmtId="0" fontId="4" fillId="11" borderId="19" xfId="0" applyFont="1" applyFill="1" applyBorder="1"/>
    <xf numFmtId="0" fontId="4" fillId="11" borderId="27" xfId="0" applyFont="1" applyFill="1" applyBorder="1"/>
    <xf numFmtId="0" fontId="0" fillId="11" borderId="3" xfId="0" applyFill="1" applyBorder="1" applyAlignment="1">
      <alignment horizontal="right"/>
    </xf>
    <xf numFmtId="0" fontId="0" fillId="11" borderId="4" xfId="0" applyFill="1" applyBorder="1"/>
    <xf numFmtId="0" fontId="4" fillId="0" borderId="6" xfId="0" applyFont="1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14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6" xfId="0" applyBorder="1"/>
    <xf numFmtId="0" fontId="4" fillId="0" borderId="26" xfId="0" applyFont="1" applyBorder="1"/>
    <xf numFmtId="0" fontId="4" fillId="0" borderId="8" xfId="0" applyFont="1" applyFill="1" applyBorder="1"/>
    <xf numFmtId="0" fontId="0" fillId="0" borderId="24" xfId="0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6" xfId="0" applyBorder="1"/>
    <xf numFmtId="0" fontId="0" fillId="0" borderId="25" xfId="0" applyBorder="1"/>
    <xf numFmtId="0" fontId="4" fillId="0" borderId="28" xfId="0" applyFont="1" applyBorder="1"/>
    <xf numFmtId="0" fontId="0" fillId="0" borderId="29" xfId="0" applyBorder="1"/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0" fillId="0" borderId="5" xfId="0" applyBorder="1"/>
    <xf numFmtId="0" fontId="0" fillId="0" borderId="7" xfId="0" applyBorder="1"/>
    <xf numFmtId="0" fontId="0" fillId="0" borderId="27" xfId="0" applyBorder="1"/>
    <xf numFmtId="0" fontId="4" fillId="0" borderId="27" xfId="0" applyFont="1" applyBorder="1"/>
    <xf numFmtId="0" fontId="4" fillId="0" borderId="10" xfId="0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34</xdr:row>
      <xdr:rowOff>123825</xdr:rowOff>
    </xdr:from>
    <xdr:to>
      <xdr:col>8</xdr:col>
      <xdr:colOff>485775</xdr:colOff>
      <xdr:row>36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31</xdr:row>
      <xdr:rowOff>142875</xdr:rowOff>
    </xdr:from>
    <xdr:to>
      <xdr:col>8</xdr:col>
      <xdr:colOff>466725</xdr:colOff>
      <xdr:row>33</xdr:row>
      <xdr:rowOff>114301</xdr:rowOff>
    </xdr:to>
    <xdr:cxnSp macro="">
      <xdr:nvCxnSpPr>
        <xdr:cNvPr id="5" name="Connecteur droit avec flèche 4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20" zoomScaleNormal="100" workbookViewId="0">
      <selection activeCell="J42" sqref="J42"/>
    </sheetView>
  </sheetViews>
  <sheetFormatPr baseColWidth="10" defaultColWidth="8.28515625" defaultRowHeight="15" x14ac:dyDescent="0.2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106" t="s">
        <v>238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A4" s="180" t="s">
        <v>201</v>
      </c>
      <c r="B4" s="181"/>
      <c r="C4" s="12">
        <v>2015</v>
      </c>
      <c r="D4" s="12">
        <f>C4+1</f>
        <v>2016</v>
      </c>
      <c r="E4" s="12">
        <f t="shared" ref="E4:H4" si="0">D4+1</f>
        <v>2017</v>
      </c>
      <c r="F4" s="12">
        <f t="shared" si="0"/>
        <v>2018</v>
      </c>
      <c r="G4" s="12">
        <f t="shared" si="0"/>
        <v>2019</v>
      </c>
      <c r="H4" s="12">
        <f t="shared" si="0"/>
        <v>2020</v>
      </c>
      <c r="K4" t="s">
        <v>16</v>
      </c>
    </row>
    <row r="5" spans="1:15" x14ac:dyDescent="0.25">
      <c r="A5" s="182"/>
      <c r="B5" s="183"/>
      <c r="C5" s="13" t="s">
        <v>0</v>
      </c>
      <c r="D5" s="13" t="s">
        <v>23</v>
      </c>
      <c r="E5" s="12"/>
      <c r="F5" s="12"/>
      <c r="G5" s="12"/>
      <c r="H5" s="12"/>
      <c r="I5" s="3" t="s">
        <v>190</v>
      </c>
      <c r="K5" s="2" t="s">
        <v>7</v>
      </c>
      <c r="L5" s="2" t="s">
        <v>5</v>
      </c>
      <c r="M5" s="2" t="s">
        <v>6</v>
      </c>
      <c r="N5" s="2" t="s">
        <v>4</v>
      </c>
      <c r="O5" s="2" t="s">
        <v>12</v>
      </c>
    </row>
    <row r="6" spans="1:15" x14ac:dyDescent="0.25">
      <c r="A6" s="11" t="s">
        <v>1</v>
      </c>
      <c r="B6" s="4">
        <v>0.2</v>
      </c>
      <c r="C6" s="83">
        <f>N10</f>
        <v>141.38181818181818</v>
      </c>
      <c r="D6" s="83">
        <f>C6*(1+$B$6)</f>
        <v>169.65818181818182</v>
      </c>
      <c r="E6" s="83">
        <f t="shared" ref="E6:H6" si="1">D6*(1+$B$6)</f>
        <v>203.58981818181817</v>
      </c>
      <c r="F6" s="83">
        <f t="shared" si="1"/>
        <v>244.30778181818181</v>
      </c>
      <c r="G6" s="83">
        <f t="shared" si="1"/>
        <v>293.16933818181815</v>
      </c>
      <c r="H6" s="83">
        <f t="shared" si="1"/>
        <v>351.80320581818177</v>
      </c>
      <c r="I6" s="89">
        <f>+H6/O10</f>
        <v>0.74692825014475961</v>
      </c>
      <c r="K6" s="5">
        <v>10</v>
      </c>
      <c r="L6" s="5">
        <f>12*360</f>
        <v>4320</v>
      </c>
      <c r="M6" s="3">
        <f>L6*K6</f>
        <v>43200</v>
      </c>
      <c r="N6" s="6">
        <v>0.3</v>
      </c>
      <c r="O6" s="3">
        <f>N6*M6</f>
        <v>12960</v>
      </c>
    </row>
    <row r="7" spans="1:15" x14ac:dyDescent="0.25">
      <c r="A7" s="11" t="s">
        <v>14</v>
      </c>
      <c r="B7" s="4">
        <v>0.15</v>
      </c>
      <c r="C7" s="83">
        <f>O14/1000</f>
        <v>21.6</v>
      </c>
      <c r="D7" s="83">
        <f>C7*(1+$B$7)</f>
        <v>24.84</v>
      </c>
      <c r="E7" s="83">
        <f t="shared" ref="E7:H7" si="2">D7*(1+$B$7)</f>
        <v>28.565999999999999</v>
      </c>
      <c r="F7" s="83">
        <f t="shared" si="2"/>
        <v>32.850899999999996</v>
      </c>
      <c r="G7" s="83">
        <f t="shared" si="2"/>
        <v>37.778534999999991</v>
      </c>
      <c r="H7" s="83">
        <f t="shared" si="2"/>
        <v>43.445315249999986</v>
      </c>
    </row>
    <row r="8" spans="1:15" x14ac:dyDescent="0.25">
      <c r="A8" s="11" t="s">
        <v>2</v>
      </c>
      <c r="B8" s="4">
        <v>0.2</v>
      </c>
      <c r="C8" s="87">
        <f>M18/2000</f>
        <v>10</v>
      </c>
      <c r="D8" s="83">
        <f>+C8*(1+$B$8)</f>
        <v>12</v>
      </c>
      <c r="E8" s="83">
        <f t="shared" ref="E8:H8" si="3">+D8*(1+$B$8)</f>
        <v>14.399999999999999</v>
      </c>
      <c r="F8" s="83">
        <f t="shared" si="3"/>
        <v>17.279999999999998</v>
      </c>
      <c r="G8" s="83">
        <f t="shared" si="3"/>
        <v>20.735999999999997</v>
      </c>
      <c r="H8" s="83">
        <f t="shared" si="3"/>
        <v>24.883199999999995</v>
      </c>
      <c r="K8" t="s">
        <v>8</v>
      </c>
    </row>
    <row r="9" spans="1:15" x14ac:dyDescent="0.25">
      <c r="A9" s="11" t="s">
        <v>233</v>
      </c>
      <c r="B9" s="4">
        <v>0.2</v>
      </c>
      <c r="C9" s="84">
        <f>M22/1000</f>
        <v>24.99</v>
      </c>
      <c r="D9" s="84">
        <f>C9*(1+$B$6)</f>
        <v>29.987999999999996</v>
      </c>
      <c r="E9" s="84">
        <f t="shared" ref="E9:H9" si="4">D9*(1+$B$6)</f>
        <v>35.985599999999991</v>
      </c>
      <c r="F9" s="84">
        <f t="shared" si="4"/>
        <v>43.182719999999989</v>
      </c>
      <c r="G9" s="84">
        <f t="shared" si="4"/>
        <v>51.819263999999983</v>
      </c>
      <c r="H9" s="84">
        <f t="shared" si="4"/>
        <v>62.183116799999979</v>
      </c>
      <c r="K9" s="2" t="s">
        <v>9</v>
      </c>
      <c r="L9" s="2" t="s">
        <v>10</v>
      </c>
      <c r="M9" s="2" t="s">
        <v>11</v>
      </c>
      <c r="N9" s="2" t="s">
        <v>13</v>
      </c>
      <c r="O9" s="88" t="s">
        <v>189</v>
      </c>
    </row>
    <row r="10" spans="1:15" x14ac:dyDescent="0.25">
      <c r="A10" s="16" t="s">
        <v>3</v>
      </c>
      <c r="B10" s="12"/>
      <c r="C10" s="86">
        <f>C6+C7+C8+C9</f>
        <v>197.97181818181818</v>
      </c>
      <c r="D10" s="86">
        <f t="shared" ref="D10:H10" si="5">D6+D7+D8+D9</f>
        <v>236.48618181818182</v>
      </c>
      <c r="E10" s="86">
        <f t="shared" si="5"/>
        <v>282.54141818181819</v>
      </c>
      <c r="F10" s="86">
        <f t="shared" si="5"/>
        <v>337.62140181818177</v>
      </c>
      <c r="G10" s="86">
        <f t="shared" si="5"/>
        <v>403.50313718181809</v>
      </c>
      <c r="H10" s="86">
        <f t="shared" si="5"/>
        <v>482.31483786818171</v>
      </c>
      <c r="K10" s="15">
        <v>220</v>
      </c>
      <c r="L10" s="14">
        <f>O6/K10</f>
        <v>58.909090909090907</v>
      </c>
      <c r="M10" s="15">
        <v>2400</v>
      </c>
      <c r="N10" s="14">
        <f>M10*L10/1000</f>
        <v>141.38181818181818</v>
      </c>
      <c r="O10" s="5">
        <v>471</v>
      </c>
    </row>
    <row r="11" spans="1:15" x14ac:dyDescent="0.25">
      <c r="A11" s="78" t="s">
        <v>24</v>
      </c>
      <c r="B11" s="4">
        <v>0.02</v>
      </c>
      <c r="C11" s="87">
        <f>('Structure des flux'!A16+'Structure des flux'!A17+'Structure des flux'!A18+'Structure des flux'!A19)/12*15/1000</f>
        <v>55.583750000000002</v>
      </c>
      <c r="D11" s="83">
        <f>C11*(1+$B$11)</f>
        <v>56.695425</v>
      </c>
      <c r="E11" s="83">
        <f t="shared" ref="E11:H11" si="6">D11*(1+$B$11)</f>
        <v>57.829333500000004</v>
      </c>
      <c r="F11" s="83">
        <f t="shared" si="6"/>
        <v>58.985920170000007</v>
      </c>
      <c r="G11" s="83">
        <f t="shared" si="6"/>
        <v>60.16563857340001</v>
      </c>
      <c r="H11" s="83">
        <f t="shared" si="6"/>
        <v>61.368951344868009</v>
      </c>
    </row>
    <row r="12" spans="1:15" x14ac:dyDescent="0.25">
      <c r="A12" s="78" t="s">
        <v>153</v>
      </c>
      <c r="B12" s="4">
        <v>0.02</v>
      </c>
      <c r="C12" s="84">
        <v>5</v>
      </c>
      <c r="D12" s="83">
        <f>C12*(1+$B$12)</f>
        <v>5.0999999999999996</v>
      </c>
      <c r="E12" s="83">
        <f t="shared" ref="E12:H12" si="7">D12*(1+$B$12)</f>
        <v>5.202</v>
      </c>
      <c r="F12" s="83">
        <f t="shared" si="7"/>
        <v>5.3060400000000003</v>
      </c>
      <c r="G12" s="83">
        <f t="shared" si="7"/>
        <v>5.4121608000000005</v>
      </c>
      <c r="H12" s="83">
        <f t="shared" si="7"/>
        <v>5.5204040160000005</v>
      </c>
      <c r="K12" t="s">
        <v>15</v>
      </c>
    </row>
    <row r="13" spans="1:15" x14ac:dyDescent="0.25">
      <c r="A13" s="78" t="s">
        <v>154</v>
      </c>
      <c r="B13" s="3"/>
      <c r="C13" s="84">
        <v>3</v>
      </c>
      <c r="D13" s="83">
        <f>C13*(1+$B$13)</f>
        <v>3</v>
      </c>
      <c r="E13" s="83">
        <f t="shared" ref="E13:H13" si="8">D13*(1+$B$13)</f>
        <v>3</v>
      </c>
      <c r="F13" s="83">
        <f t="shared" si="8"/>
        <v>3</v>
      </c>
      <c r="G13" s="83">
        <f t="shared" si="8"/>
        <v>3</v>
      </c>
      <c r="H13" s="83">
        <f t="shared" si="8"/>
        <v>3</v>
      </c>
      <c r="K13" s="2" t="s">
        <v>17</v>
      </c>
      <c r="L13" s="2" t="s">
        <v>6</v>
      </c>
      <c r="M13" s="2" t="s">
        <v>4</v>
      </c>
      <c r="N13" s="2" t="s">
        <v>18</v>
      </c>
      <c r="O13" s="2" t="s">
        <v>19</v>
      </c>
    </row>
    <row r="14" spans="1:15" x14ac:dyDescent="0.25">
      <c r="A14" s="78" t="s">
        <v>155</v>
      </c>
      <c r="B14" s="3"/>
      <c r="C14" s="84">
        <v>2</v>
      </c>
      <c r="D14" s="83">
        <f>C14*(1+$B$14)</f>
        <v>2</v>
      </c>
      <c r="E14" s="83">
        <f t="shared" ref="E14:H14" si="9">D14*(1+$B$14)</f>
        <v>2</v>
      </c>
      <c r="F14" s="83">
        <f t="shared" si="9"/>
        <v>2</v>
      </c>
      <c r="G14" s="83">
        <f t="shared" si="9"/>
        <v>2</v>
      </c>
      <c r="H14" s="83">
        <f t="shared" si="9"/>
        <v>2</v>
      </c>
      <c r="K14" s="5">
        <v>2</v>
      </c>
      <c r="L14" s="5">
        <f>9*200*K14</f>
        <v>3600</v>
      </c>
      <c r="M14" s="6">
        <v>0.3</v>
      </c>
      <c r="N14" s="5">
        <v>20</v>
      </c>
      <c r="O14" s="3">
        <f>N14*M14*L14</f>
        <v>21600</v>
      </c>
    </row>
    <row r="15" spans="1:15" x14ac:dyDescent="0.25">
      <c r="A15" s="78" t="s">
        <v>143</v>
      </c>
      <c r="B15" s="4">
        <v>0.02</v>
      </c>
      <c r="C15" s="83">
        <f>SUM('Structure des flux'!A6:A10)/12*15/1000+'Structure des flux'!A28/1000</f>
        <v>9.8042500000000015</v>
      </c>
      <c r="D15" s="83">
        <f>C15*(1+$B$15)</f>
        <v>10.000335000000002</v>
      </c>
      <c r="E15" s="83">
        <f t="shared" ref="E15:H15" si="10">D15*(1+$B$15)</f>
        <v>10.200341700000001</v>
      </c>
      <c r="F15" s="83">
        <f t="shared" si="10"/>
        <v>10.404348534</v>
      </c>
      <c r="G15" s="83">
        <f t="shared" si="10"/>
        <v>10.612435504680001</v>
      </c>
      <c r="H15" s="83">
        <f t="shared" si="10"/>
        <v>10.824684214773601</v>
      </c>
    </row>
    <row r="16" spans="1:15" x14ac:dyDescent="0.25">
      <c r="A16" s="78" t="s">
        <v>92</v>
      </c>
      <c r="B16" s="4">
        <v>0.02</v>
      </c>
      <c r="C16" s="84">
        <v>15</v>
      </c>
      <c r="D16" s="84">
        <v>5</v>
      </c>
      <c r="E16" s="83">
        <f t="shared" ref="E16:H16" si="11">D16*(1+$B$16)</f>
        <v>5.0999999999999996</v>
      </c>
      <c r="F16" s="83">
        <f t="shared" si="11"/>
        <v>5.202</v>
      </c>
      <c r="G16" s="83">
        <f t="shared" si="11"/>
        <v>5.3060400000000003</v>
      </c>
      <c r="H16" s="83">
        <f t="shared" si="11"/>
        <v>5.4121608000000005</v>
      </c>
      <c r="K16" t="s">
        <v>20</v>
      </c>
    </row>
    <row r="17" spans="1:15" x14ac:dyDescent="0.25">
      <c r="A17" s="78" t="s">
        <v>145</v>
      </c>
      <c r="B17" s="4">
        <v>0.02</v>
      </c>
      <c r="C17" s="87">
        <f>'Structure des flux'!A48/1000</f>
        <v>80</v>
      </c>
      <c r="D17" s="84">
        <v>100</v>
      </c>
      <c r="E17" s="83">
        <f>D17*(1+$B$17)</f>
        <v>102</v>
      </c>
      <c r="F17" s="83">
        <f t="shared" ref="F17:H17" si="12">E17*(1+$B$17)</f>
        <v>104.04</v>
      </c>
      <c r="G17" s="83">
        <f t="shared" si="12"/>
        <v>106.1208</v>
      </c>
      <c r="H17" s="83">
        <f t="shared" si="12"/>
        <v>108.243216</v>
      </c>
      <c r="K17" s="2" t="s">
        <v>4</v>
      </c>
      <c r="L17" s="2" t="s">
        <v>21</v>
      </c>
      <c r="M17" s="2" t="s">
        <v>22</v>
      </c>
    </row>
    <row r="18" spans="1:15" x14ac:dyDescent="0.25">
      <c r="A18" s="78" t="s">
        <v>191</v>
      </c>
      <c r="B18" s="4">
        <v>0.02</v>
      </c>
      <c r="C18" s="84">
        <v>12</v>
      </c>
      <c r="D18" s="84">
        <v>25</v>
      </c>
      <c r="E18" s="83">
        <f>D18*(1+$B$18)</f>
        <v>25.5</v>
      </c>
      <c r="F18" s="84">
        <f>E18*2</f>
        <v>51</v>
      </c>
      <c r="G18" s="83">
        <f t="shared" ref="G18:H18" si="13">F18*(1+$B$18)</f>
        <v>52.02</v>
      </c>
      <c r="H18" s="83">
        <f t="shared" si="13"/>
        <v>53.060400000000001</v>
      </c>
      <c r="K18" s="6">
        <v>0.05</v>
      </c>
      <c r="L18" s="5">
        <v>400000</v>
      </c>
      <c r="M18" s="3">
        <f>L18*K18</f>
        <v>20000</v>
      </c>
    </row>
    <row r="19" spans="1:15" x14ac:dyDescent="0.25">
      <c r="A19" s="78" t="s">
        <v>192</v>
      </c>
      <c r="B19" s="4">
        <v>0.02</v>
      </c>
      <c r="C19" s="84">
        <v>10</v>
      </c>
      <c r="D19" s="84">
        <v>15</v>
      </c>
      <c r="E19" s="87">
        <f t="shared" ref="E19:H19" si="14">+D19*(1+$B$19)</f>
        <v>15.3</v>
      </c>
      <c r="F19" s="84">
        <v>40</v>
      </c>
      <c r="G19" s="87">
        <f t="shared" si="14"/>
        <v>40.799999999999997</v>
      </c>
      <c r="H19" s="87">
        <f t="shared" si="14"/>
        <v>41.616</v>
      </c>
      <c r="K19" s="90"/>
      <c r="L19" s="80"/>
      <c r="M19" s="81"/>
    </row>
    <row r="20" spans="1:15" x14ac:dyDescent="0.25">
      <c r="A20" s="78" t="s">
        <v>152</v>
      </c>
      <c r="B20" s="4">
        <v>0.02</v>
      </c>
      <c r="C20" s="84">
        <v>5</v>
      </c>
      <c r="D20" s="83">
        <f>C20*(1+$B$20)</f>
        <v>5.0999999999999996</v>
      </c>
      <c r="E20" s="83">
        <f>D20*(1+$B$20)</f>
        <v>5.202</v>
      </c>
      <c r="F20" s="83">
        <f t="shared" ref="F20:H20" si="15">E20*(1+$B$20)</f>
        <v>5.3060400000000003</v>
      </c>
      <c r="G20" s="83">
        <f t="shared" si="15"/>
        <v>5.4121608000000005</v>
      </c>
      <c r="H20" s="83">
        <f t="shared" si="15"/>
        <v>5.5204040160000005</v>
      </c>
      <c r="K20" s="10" t="s">
        <v>233</v>
      </c>
    </row>
    <row r="21" spans="1:15" x14ac:dyDescent="0.25">
      <c r="A21" s="78" t="s">
        <v>146</v>
      </c>
      <c r="B21" s="4">
        <v>0.02</v>
      </c>
      <c r="C21" s="84">
        <v>15</v>
      </c>
      <c r="D21" s="83">
        <f>C21*(1+$B$21)</f>
        <v>15.3</v>
      </c>
      <c r="E21" s="83">
        <f>D21*(1+$B$21)</f>
        <v>15.606000000000002</v>
      </c>
      <c r="F21" s="83">
        <f t="shared" ref="F21:H21" si="16">E21*(1+$B$21)</f>
        <v>15.918120000000002</v>
      </c>
      <c r="G21" s="83">
        <f t="shared" si="16"/>
        <v>16.236482400000003</v>
      </c>
      <c r="H21" s="83">
        <f t="shared" si="16"/>
        <v>16.561212048000005</v>
      </c>
      <c r="K21" s="94" t="s">
        <v>235</v>
      </c>
      <c r="L21" s="94" t="s">
        <v>234</v>
      </c>
      <c r="M21" s="94" t="s">
        <v>236</v>
      </c>
    </row>
    <row r="22" spans="1:15" x14ac:dyDescent="0.25">
      <c r="A22" s="78" t="s">
        <v>187</v>
      </c>
      <c r="B22" s="5">
        <v>5</v>
      </c>
      <c r="C22" s="83">
        <f>B52/$B$22</f>
        <v>1.4</v>
      </c>
      <c r="D22" s="83">
        <f>C52/$B$22</f>
        <v>1.1199999999999999</v>
      </c>
      <c r="E22" s="83">
        <f t="shared" ref="E22:H22" si="17">D52/$B$22</f>
        <v>0.89599999999999991</v>
      </c>
      <c r="F22" s="83">
        <f t="shared" si="17"/>
        <v>0.71679999999999988</v>
      </c>
      <c r="G22" s="83">
        <f t="shared" si="17"/>
        <v>0.57343999999999995</v>
      </c>
      <c r="H22" s="83">
        <f t="shared" si="17"/>
        <v>0.45875199999999994</v>
      </c>
      <c r="K22" s="93">
        <v>357</v>
      </c>
      <c r="L22" s="93">
        <v>70</v>
      </c>
      <c r="M22" s="94">
        <f>L22*K22</f>
        <v>24990</v>
      </c>
      <c r="O22" t="s">
        <v>239</v>
      </c>
    </row>
    <row r="23" spans="1:15" x14ac:dyDescent="0.25">
      <c r="A23" s="78" t="s">
        <v>188</v>
      </c>
      <c r="B23" s="5">
        <v>5</v>
      </c>
      <c r="C23" s="83">
        <v>0</v>
      </c>
      <c r="D23" s="83">
        <f>C53/$B$23</f>
        <v>10</v>
      </c>
      <c r="E23" s="83">
        <f t="shared" ref="E23:H23" si="18">D53/$B$23</f>
        <v>8</v>
      </c>
      <c r="F23" s="83">
        <f t="shared" si="18"/>
        <v>6.4</v>
      </c>
      <c r="G23" s="83">
        <f t="shared" si="18"/>
        <v>5.12</v>
      </c>
      <c r="H23" s="83">
        <f t="shared" si="18"/>
        <v>4.0960000000000001</v>
      </c>
      <c r="O23" t="s">
        <v>255</v>
      </c>
    </row>
    <row r="24" spans="1:15" x14ac:dyDescent="0.25">
      <c r="A24" s="78" t="s">
        <v>199</v>
      </c>
      <c r="B24" s="83">
        <f>10%*(K39+K34)</f>
        <v>4.5</v>
      </c>
      <c r="C24" s="85">
        <f>+B24</f>
        <v>4.5</v>
      </c>
      <c r="D24" s="83"/>
      <c r="E24" s="83"/>
      <c r="F24" s="83"/>
      <c r="G24" s="83"/>
      <c r="H24" s="83"/>
      <c r="I24" t="s">
        <v>240</v>
      </c>
    </row>
    <row r="25" spans="1:15" x14ac:dyDescent="0.25">
      <c r="A25" s="79" t="s">
        <v>147</v>
      </c>
      <c r="B25" s="12"/>
      <c r="C25" s="86">
        <f>+C10-SUM(C11:C24)</f>
        <v>-20.316181818181832</v>
      </c>
      <c r="D25" s="86">
        <f t="shared" ref="D25:H25" si="19">+D10-SUM(D11:D24)</f>
        <v>-16.829578181818192</v>
      </c>
      <c r="E25" s="86">
        <f t="shared" si="19"/>
        <v>26.70574298181819</v>
      </c>
      <c r="F25" s="86">
        <f t="shared" si="19"/>
        <v>29.34213311418182</v>
      </c>
      <c r="G25" s="86">
        <f t="shared" si="19"/>
        <v>90.723979103738088</v>
      </c>
      <c r="H25" s="86">
        <f t="shared" si="19"/>
        <v>164.6326534285401</v>
      </c>
    </row>
    <row r="26" spans="1:15" x14ac:dyDescent="0.25">
      <c r="A26" s="79" t="s">
        <v>162</v>
      </c>
      <c r="B26" s="12"/>
      <c r="C26" s="82">
        <f>C25/C10</f>
        <v>-0.10262158525777322</v>
      </c>
      <c r="D26" s="82">
        <f t="shared" ref="D26:H26" si="20">D25/D10</f>
        <v>-7.1165165137459546E-2</v>
      </c>
      <c r="E26" s="82">
        <f t="shared" si="20"/>
        <v>9.4519745648876094E-2</v>
      </c>
      <c r="F26" s="82">
        <f t="shared" si="20"/>
        <v>8.6908391932995266E-2</v>
      </c>
      <c r="G26" s="82">
        <f t="shared" si="20"/>
        <v>0.22484082710578271</v>
      </c>
      <c r="H26" s="82">
        <f t="shared" si="20"/>
        <v>0.34133856249625638</v>
      </c>
    </row>
    <row r="27" spans="1:15" x14ac:dyDescent="0.25">
      <c r="A27" s="78" t="s">
        <v>148</v>
      </c>
      <c r="B27" s="3"/>
      <c r="C27" s="83"/>
      <c r="D27" s="83"/>
      <c r="E27" s="83"/>
      <c r="F27" s="83"/>
      <c r="G27" s="83"/>
      <c r="H27" s="83"/>
    </row>
    <row r="28" spans="1:15" x14ac:dyDescent="0.25">
      <c r="A28" s="78" t="s">
        <v>149</v>
      </c>
      <c r="B28" s="3"/>
      <c r="C28" s="83"/>
      <c r="D28" s="83"/>
      <c r="E28" s="83"/>
      <c r="F28" s="83"/>
      <c r="G28" s="83"/>
      <c r="H28" s="83"/>
    </row>
    <row r="29" spans="1:15" x14ac:dyDescent="0.25">
      <c r="A29" s="78" t="s">
        <v>150</v>
      </c>
      <c r="B29" s="4">
        <v>0.25</v>
      </c>
      <c r="C29" s="83">
        <f>-(C25+C27+C28)*$B$29</f>
        <v>5.079045454545458</v>
      </c>
      <c r="D29" s="83">
        <f t="shared" ref="D29:H29" si="21">-(D25+D27+D28)*$B$29</f>
        <v>4.2073945454545481</v>
      </c>
      <c r="E29" s="83">
        <f t="shared" si="21"/>
        <v>-6.6764357454545475</v>
      </c>
      <c r="F29" s="83">
        <f t="shared" si="21"/>
        <v>-7.335533278545455</v>
      </c>
      <c r="G29" s="83">
        <f t="shared" si="21"/>
        <v>-22.680994775934522</v>
      </c>
      <c r="H29" s="83">
        <f t="shared" si="21"/>
        <v>-41.158163357135024</v>
      </c>
    </row>
    <row r="30" spans="1:15" x14ac:dyDescent="0.25">
      <c r="A30" s="79" t="s">
        <v>151</v>
      </c>
      <c r="B30" s="12"/>
      <c r="C30" s="86">
        <f>C25+C27+C28+C29</f>
        <v>-15.237136363636374</v>
      </c>
      <c r="D30" s="86">
        <f t="shared" ref="D30:H30" si="22">D25+D27+D28+D29</f>
        <v>-12.622183636363644</v>
      </c>
      <c r="E30" s="86">
        <f t="shared" si="22"/>
        <v>20.029307236363643</v>
      </c>
      <c r="F30" s="86">
        <f t="shared" si="22"/>
        <v>22.006599835636365</v>
      </c>
      <c r="G30" s="86">
        <f t="shared" si="22"/>
        <v>68.042984327803566</v>
      </c>
      <c r="H30" s="86">
        <f t="shared" si="22"/>
        <v>123.47449007140507</v>
      </c>
    </row>
    <row r="32" spans="1:15" x14ac:dyDescent="0.25">
      <c r="A32" s="12" t="s">
        <v>200</v>
      </c>
      <c r="B32" s="3"/>
      <c r="C32" s="17">
        <f t="shared" ref="C32:H32" si="23">+C4</f>
        <v>2015</v>
      </c>
      <c r="D32" s="17">
        <f t="shared" si="23"/>
        <v>2016</v>
      </c>
      <c r="E32" s="17">
        <f t="shared" si="23"/>
        <v>2017</v>
      </c>
      <c r="F32" s="17">
        <f t="shared" si="23"/>
        <v>2018</v>
      </c>
      <c r="G32" s="17">
        <f t="shared" si="23"/>
        <v>2019</v>
      </c>
      <c r="H32" s="17">
        <f t="shared" si="23"/>
        <v>2020</v>
      </c>
      <c r="J32" s="177" t="s">
        <v>163</v>
      </c>
      <c r="K32" s="177"/>
    </row>
    <row r="33" spans="1:13" x14ac:dyDescent="0.25">
      <c r="A33" s="3" t="s">
        <v>156</v>
      </c>
      <c r="B33" s="83"/>
      <c r="C33" s="83">
        <f>C30+C22+C23</f>
        <v>-13.837136363636374</v>
      </c>
      <c r="D33" s="83">
        <f t="shared" ref="D33:H33" si="24">D30+D22+D23</f>
        <v>-1.5021836363636449</v>
      </c>
      <c r="E33" s="83">
        <f t="shared" si="24"/>
        <v>28.925307236363643</v>
      </c>
      <c r="F33" s="83">
        <f t="shared" si="24"/>
        <v>29.123399835636363</v>
      </c>
      <c r="G33" s="83">
        <f t="shared" si="24"/>
        <v>73.736424327803576</v>
      </c>
      <c r="H33" s="83">
        <f t="shared" si="24"/>
        <v>128.02924207140506</v>
      </c>
      <c r="J33" s="3" t="s">
        <v>196</v>
      </c>
      <c r="K33" s="3">
        <v>20</v>
      </c>
    </row>
    <row r="34" spans="1:13" x14ac:dyDescent="0.25">
      <c r="A34" s="78" t="s">
        <v>161</v>
      </c>
      <c r="B34" s="84">
        <f>K35</f>
        <v>30</v>
      </c>
      <c r="C34" s="83"/>
      <c r="D34" s="84">
        <v>0</v>
      </c>
      <c r="E34" s="84">
        <v>0</v>
      </c>
      <c r="F34" s="84"/>
      <c r="G34" s="83"/>
      <c r="H34" s="83"/>
      <c r="J34" s="3" t="s">
        <v>197</v>
      </c>
      <c r="K34" s="3">
        <v>10</v>
      </c>
      <c r="M34" t="s">
        <v>241</v>
      </c>
    </row>
    <row r="35" spans="1:13" x14ac:dyDescent="0.25">
      <c r="A35" s="78" t="s">
        <v>157</v>
      </c>
      <c r="B35" s="84">
        <f>K40</f>
        <v>70</v>
      </c>
      <c r="C35" s="83"/>
      <c r="D35" s="83"/>
      <c r="E35" s="83"/>
      <c r="F35" s="83"/>
      <c r="G35" s="83"/>
      <c r="H35" s="83"/>
      <c r="J35" s="3" t="s">
        <v>198</v>
      </c>
      <c r="K35" s="3">
        <f>+K33+K34</f>
        <v>30</v>
      </c>
    </row>
    <row r="36" spans="1:13" x14ac:dyDescent="0.25">
      <c r="A36" s="78" t="s">
        <v>158</v>
      </c>
      <c r="B36" s="83"/>
      <c r="C36" s="83"/>
      <c r="D36" s="83"/>
      <c r="E36" s="83"/>
      <c r="F36" s="83"/>
      <c r="G36" s="83"/>
      <c r="H36" s="83"/>
    </row>
    <row r="37" spans="1:13" x14ac:dyDescent="0.25">
      <c r="A37" s="78" t="s">
        <v>159</v>
      </c>
      <c r="B37" s="83"/>
      <c r="C37" s="83">
        <f>C68</f>
        <v>4.4123354088833544</v>
      </c>
      <c r="D37" s="83">
        <f t="shared" ref="D37:H37" si="25">D68</f>
        <v>2.1168871731008707</v>
      </c>
      <c r="E37" s="83">
        <f t="shared" si="25"/>
        <v>-0.54873904524698958</v>
      </c>
      <c r="F37" s="83">
        <f t="shared" si="25"/>
        <v>1.3895756114570386</v>
      </c>
      <c r="G37" s="83">
        <f t="shared" si="25"/>
        <v>-0.82458743063511797</v>
      </c>
      <c r="H37" s="83">
        <f t="shared" si="25"/>
        <v>-1.0319668058032372</v>
      </c>
      <c r="J37" s="178" t="s">
        <v>195</v>
      </c>
      <c r="K37" s="179"/>
      <c r="M37" t="s">
        <v>242</v>
      </c>
    </row>
    <row r="38" spans="1:13" x14ac:dyDescent="0.25">
      <c r="A38" s="78" t="s">
        <v>169</v>
      </c>
      <c r="B38" s="83">
        <v>-7</v>
      </c>
      <c r="C38" s="83"/>
      <c r="D38" s="83"/>
      <c r="E38" s="83"/>
      <c r="F38" s="83"/>
      <c r="G38" s="83"/>
      <c r="H38" s="83"/>
      <c r="J38" s="3" t="s">
        <v>193</v>
      </c>
      <c r="K38" s="3">
        <v>35</v>
      </c>
    </row>
    <row r="39" spans="1:13" x14ac:dyDescent="0.25">
      <c r="A39" s="78" t="s">
        <v>171</v>
      </c>
      <c r="B39" s="83"/>
      <c r="C39" s="84">
        <v>-50</v>
      </c>
      <c r="D39" s="83"/>
      <c r="E39" s="83"/>
      <c r="F39" s="83"/>
      <c r="G39" s="83"/>
      <c r="H39" s="83"/>
      <c r="J39" s="3" t="s">
        <v>194</v>
      </c>
      <c r="K39" s="3">
        <v>35</v>
      </c>
      <c r="M39" t="s">
        <v>244</v>
      </c>
    </row>
    <row r="40" spans="1:13" x14ac:dyDescent="0.25">
      <c r="A40" s="78" t="s">
        <v>176</v>
      </c>
      <c r="B40" s="83">
        <v>-8</v>
      </c>
      <c r="C40" s="83"/>
      <c r="D40" s="83"/>
      <c r="E40" s="83"/>
      <c r="F40" s="83"/>
      <c r="G40" s="83"/>
      <c r="H40" s="83"/>
      <c r="J40" s="3" t="s">
        <v>198</v>
      </c>
      <c r="K40" s="3">
        <f>+K38+K39</f>
        <v>70</v>
      </c>
      <c r="M40" t="s">
        <v>256</v>
      </c>
    </row>
    <row r="41" spans="1:13" x14ac:dyDescent="0.25">
      <c r="A41" s="79" t="s">
        <v>160</v>
      </c>
      <c r="B41" s="86">
        <f>SUM(B33:B40)</f>
        <v>85</v>
      </c>
      <c r="C41" s="86">
        <f>B41+SUM(C33:C40)</f>
        <v>25.575199045246983</v>
      </c>
      <c r="D41" s="86">
        <f>C41+SUM(D33:D40)</f>
        <v>26.189902581984207</v>
      </c>
      <c r="E41" s="86">
        <f t="shared" ref="E41:H41" si="26">D41+SUM(E33:E40)</f>
        <v>54.56647077310086</v>
      </c>
      <c r="F41" s="86">
        <f t="shared" si="26"/>
        <v>85.079446220194257</v>
      </c>
      <c r="G41" s="86">
        <f t="shared" si="26"/>
        <v>157.99128311736271</v>
      </c>
      <c r="H41" s="86">
        <f t="shared" si="26"/>
        <v>284.98855838296453</v>
      </c>
    </row>
    <row r="43" spans="1:13" x14ac:dyDescent="0.25">
      <c r="A43" s="12" t="s">
        <v>179</v>
      </c>
      <c r="B43" s="3"/>
      <c r="C43" s="17">
        <f>C32</f>
        <v>2015</v>
      </c>
      <c r="D43" s="17">
        <f t="shared" ref="D43:H43" si="27">D32</f>
        <v>2016</v>
      </c>
      <c r="E43" s="17">
        <f t="shared" si="27"/>
        <v>2017</v>
      </c>
      <c r="F43" s="17">
        <f t="shared" si="27"/>
        <v>2018</v>
      </c>
      <c r="G43" s="17">
        <f t="shared" si="27"/>
        <v>2019</v>
      </c>
      <c r="H43" s="17">
        <f t="shared" si="27"/>
        <v>2020</v>
      </c>
    </row>
    <row r="44" spans="1:13" x14ac:dyDescent="0.25">
      <c r="A44" s="3" t="s">
        <v>237</v>
      </c>
      <c r="B44" s="83">
        <f>+B35</f>
        <v>70</v>
      </c>
      <c r="C44" s="83">
        <f>B44+C35+C30</f>
        <v>54.762863636363626</v>
      </c>
      <c r="D44" s="83">
        <f>C44+D35+D30</f>
        <v>42.140679999999982</v>
      </c>
      <c r="E44" s="83">
        <f t="shared" ref="E44:H44" si="28">D44+E35+E30</f>
        <v>62.169987236363625</v>
      </c>
      <c r="F44" s="83">
        <f t="shared" si="28"/>
        <v>84.17658707199999</v>
      </c>
      <c r="G44" s="83">
        <f t="shared" si="28"/>
        <v>152.21957139980356</v>
      </c>
      <c r="H44" s="83">
        <f t="shared" si="28"/>
        <v>275.69406147120861</v>
      </c>
    </row>
    <row r="45" spans="1:13" x14ac:dyDescent="0.25">
      <c r="A45" s="3" t="s">
        <v>163</v>
      </c>
      <c r="B45" s="83">
        <f>+B34</f>
        <v>30</v>
      </c>
      <c r="C45" s="83">
        <f>+B45+C34</f>
        <v>30</v>
      </c>
      <c r="D45" s="83">
        <f>+C45+D34</f>
        <v>30</v>
      </c>
      <c r="E45" s="83">
        <f t="shared" ref="E45:H45" si="29">+D45+E34</f>
        <v>30</v>
      </c>
      <c r="F45" s="83">
        <f t="shared" si="29"/>
        <v>30</v>
      </c>
      <c r="G45" s="83">
        <f t="shared" si="29"/>
        <v>30</v>
      </c>
      <c r="H45" s="83">
        <f t="shared" si="29"/>
        <v>30</v>
      </c>
    </row>
    <row r="46" spans="1:13" x14ac:dyDescent="0.25">
      <c r="A46" s="3" t="s">
        <v>164</v>
      </c>
      <c r="B46" s="83"/>
      <c r="C46" s="83">
        <f>+B46+C36</f>
        <v>0</v>
      </c>
      <c r="D46" s="83">
        <f>+C46+D36</f>
        <v>0</v>
      </c>
      <c r="E46" s="83">
        <f t="shared" ref="E46:H46" si="30">+D46+E36</f>
        <v>0</v>
      </c>
      <c r="F46" s="83">
        <f t="shared" si="30"/>
        <v>0</v>
      </c>
      <c r="G46" s="83">
        <f t="shared" si="30"/>
        <v>0</v>
      </c>
      <c r="H46" s="83">
        <f t="shared" si="30"/>
        <v>0</v>
      </c>
    </row>
    <row r="47" spans="1:13" x14ac:dyDescent="0.25">
      <c r="A47" s="3" t="s">
        <v>165</v>
      </c>
      <c r="B47" s="83"/>
      <c r="C47" s="83">
        <f>C65</f>
        <v>0</v>
      </c>
      <c r="D47" s="83">
        <f>D65</f>
        <v>0</v>
      </c>
      <c r="E47" s="83">
        <f t="shared" ref="E47:H47" si="31">E65</f>
        <v>0</v>
      </c>
      <c r="F47" s="83">
        <f t="shared" si="31"/>
        <v>0</v>
      </c>
      <c r="G47" s="83">
        <f t="shared" si="31"/>
        <v>0</v>
      </c>
      <c r="H47" s="83">
        <f t="shared" si="31"/>
        <v>0</v>
      </c>
    </row>
    <row r="48" spans="1:13" x14ac:dyDescent="0.25">
      <c r="A48" s="78" t="s">
        <v>166</v>
      </c>
      <c r="B48" s="83"/>
      <c r="C48" s="83">
        <f>C66</f>
        <v>7.666666666666667</v>
      </c>
      <c r="D48" s="83">
        <f>D66</f>
        <v>10.416666666666666</v>
      </c>
      <c r="E48" s="83">
        <f t="shared" ref="E48:H48" si="32">E66</f>
        <v>10.625</v>
      </c>
      <c r="F48" s="83">
        <f t="shared" si="32"/>
        <v>12.920000000000002</v>
      </c>
      <c r="G48" s="83">
        <f t="shared" si="32"/>
        <v>13.178400000000002</v>
      </c>
      <c r="H48" s="83">
        <f t="shared" si="32"/>
        <v>13.441968000000001</v>
      </c>
    </row>
    <row r="49" spans="1:10" x14ac:dyDescent="0.25">
      <c r="A49" s="78" t="s">
        <v>167</v>
      </c>
      <c r="B49" s="83"/>
      <c r="C49" s="83"/>
      <c r="D49" s="83"/>
      <c r="E49" s="83"/>
      <c r="F49" s="83"/>
      <c r="G49" s="83"/>
      <c r="H49" s="83"/>
    </row>
    <row r="50" spans="1:10" x14ac:dyDescent="0.25">
      <c r="A50" s="78" t="s">
        <v>168</v>
      </c>
      <c r="B50" s="83">
        <f>+SUM(B44:B49)</f>
        <v>100</v>
      </c>
      <c r="C50" s="83">
        <f>+SUM(C44:C49)</f>
        <v>92.42953030303029</v>
      </c>
      <c r="D50" s="83">
        <f>+SUM(D44:D49)</f>
        <v>82.557346666666646</v>
      </c>
      <c r="E50" s="83">
        <f t="shared" ref="E50:H50" si="33">+SUM(E44:E49)</f>
        <v>102.79498723636362</v>
      </c>
      <c r="F50" s="83">
        <f t="shared" si="33"/>
        <v>127.09658707199999</v>
      </c>
      <c r="G50" s="83">
        <f t="shared" si="33"/>
        <v>195.39797139980357</v>
      </c>
      <c r="H50" s="83">
        <f t="shared" si="33"/>
        <v>319.13602947120859</v>
      </c>
    </row>
    <row r="51" spans="1:10" x14ac:dyDescent="0.25">
      <c r="B51" s="85"/>
      <c r="C51" s="85"/>
      <c r="D51" s="85"/>
      <c r="E51" s="85"/>
      <c r="F51" s="85"/>
      <c r="G51" s="85"/>
      <c r="H51" s="85"/>
    </row>
    <row r="52" spans="1:10" x14ac:dyDescent="0.25">
      <c r="A52" s="3" t="s">
        <v>169</v>
      </c>
      <c r="B52" s="83">
        <f>-B38</f>
        <v>7</v>
      </c>
      <c r="C52" s="83">
        <f>B52-C38-C22</f>
        <v>5.6</v>
      </c>
      <c r="D52" s="83">
        <f>C52-D38-D22</f>
        <v>4.4799999999999995</v>
      </c>
      <c r="E52" s="83">
        <f t="shared" ref="E52:H52" si="34">D52-E38-E22</f>
        <v>3.5839999999999996</v>
      </c>
      <c r="F52" s="83">
        <f t="shared" si="34"/>
        <v>2.8671999999999995</v>
      </c>
      <c r="G52" s="83">
        <f t="shared" si="34"/>
        <v>2.2937599999999998</v>
      </c>
      <c r="H52" s="83">
        <f t="shared" si="34"/>
        <v>1.8350079999999998</v>
      </c>
    </row>
    <row r="53" spans="1:10" x14ac:dyDescent="0.25">
      <c r="A53" s="3" t="s">
        <v>171</v>
      </c>
      <c r="B53" s="83"/>
      <c r="C53" s="83">
        <f>B53-C39-C23</f>
        <v>50</v>
      </c>
      <c r="D53" s="83">
        <f>C53-D39-D23</f>
        <v>40</v>
      </c>
      <c r="E53" s="83">
        <f t="shared" ref="E53:H53" si="35">D53-E39-E23</f>
        <v>32</v>
      </c>
      <c r="F53" s="83">
        <f t="shared" si="35"/>
        <v>25.6</v>
      </c>
      <c r="G53" s="83">
        <f t="shared" si="35"/>
        <v>20.48</v>
      </c>
      <c r="H53" s="83">
        <f t="shared" si="35"/>
        <v>16.384</v>
      </c>
      <c r="J53" t="s">
        <v>252</v>
      </c>
    </row>
    <row r="54" spans="1:10" x14ac:dyDescent="0.25">
      <c r="A54" s="3" t="s">
        <v>170</v>
      </c>
      <c r="B54" s="83">
        <f>-B40</f>
        <v>8</v>
      </c>
      <c r="C54" s="83">
        <f>B54-C40</f>
        <v>8</v>
      </c>
      <c r="D54" s="83">
        <f>C54-D40</f>
        <v>8</v>
      </c>
      <c r="E54" s="83">
        <f t="shared" ref="E54:H54" si="36">D54-E40</f>
        <v>8</v>
      </c>
      <c r="F54" s="83">
        <f t="shared" si="36"/>
        <v>8</v>
      </c>
      <c r="G54" s="83">
        <f t="shared" si="36"/>
        <v>8</v>
      </c>
      <c r="H54" s="83">
        <f t="shared" si="36"/>
        <v>8</v>
      </c>
    </row>
    <row r="55" spans="1:10" x14ac:dyDescent="0.25">
      <c r="A55" s="3" t="s">
        <v>172</v>
      </c>
      <c r="B55" s="83"/>
      <c r="C55" s="83">
        <f>C63</f>
        <v>0</v>
      </c>
      <c r="D55" s="83">
        <f>D63</f>
        <v>0</v>
      </c>
      <c r="E55" s="83">
        <f t="shared" ref="E55:H55" si="37">E63</f>
        <v>0</v>
      </c>
      <c r="F55" s="83">
        <f t="shared" si="37"/>
        <v>0</v>
      </c>
      <c r="G55" s="83">
        <f t="shared" si="37"/>
        <v>0</v>
      </c>
      <c r="H55" s="83">
        <f t="shared" si="37"/>
        <v>0</v>
      </c>
    </row>
    <row r="56" spans="1:10" x14ac:dyDescent="0.25">
      <c r="A56" s="3" t="s">
        <v>173</v>
      </c>
      <c r="B56" s="83"/>
      <c r="C56" s="83">
        <f>C64</f>
        <v>3.2543312577833121</v>
      </c>
      <c r="D56" s="83">
        <f>D64</f>
        <v>3.8874440846824405</v>
      </c>
      <c r="E56" s="83">
        <f t="shared" ref="E56:H56" si="38">E64</f>
        <v>4.6445164632627645</v>
      </c>
      <c r="F56" s="83">
        <f t="shared" si="38"/>
        <v>5.5499408518057276</v>
      </c>
      <c r="G56" s="83">
        <f t="shared" si="38"/>
        <v>6.6329282824408455</v>
      </c>
      <c r="H56" s="83">
        <f t="shared" si="38"/>
        <v>7.9284630882440821</v>
      </c>
    </row>
    <row r="57" spans="1:10" x14ac:dyDescent="0.25">
      <c r="A57" s="3" t="s">
        <v>174</v>
      </c>
      <c r="B57" s="83"/>
      <c r="C57" s="83"/>
      <c r="D57" s="83"/>
      <c r="E57" s="83"/>
      <c r="F57" s="83"/>
      <c r="G57" s="83"/>
      <c r="H57" s="83"/>
    </row>
    <row r="58" spans="1:10" x14ac:dyDescent="0.25">
      <c r="A58" s="3" t="s">
        <v>175</v>
      </c>
      <c r="B58" s="83">
        <f>B41</f>
        <v>85</v>
      </c>
      <c r="C58" s="83">
        <f>C41</f>
        <v>25.575199045246983</v>
      </c>
      <c r="D58" s="83">
        <f>D41</f>
        <v>26.189902581984207</v>
      </c>
      <c r="E58" s="83">
        <f t="shared" ref="E58:H58" si="39">E41</f>
        <v>54.56647077310086</v>
      </c>
      <c r="F58" s="83">
        <f t="shared" si="39"/>
        <v>85.079446220194257</v>
      </c>
      <c r="G58" s="83">
        <f t="shared" si="39"/>
        <v>157.99128311736271</v>
      </c>
      <c r="H58" s="83">
        <f t="shared" si="39"/>
        <v>284.98855838296453</v>
      </c>
    </row>
    <row r="59" spans="1:10" x14ac:dyDescent="0.25">
      <c r="A59" s="78" t="s">
        <v>177</v>
      </c>
      <c r="B59" s="83">
        <f>SUM(B52:B58)</f>
        <v>100</v>
      </c>
      <c r="C59" s="83">
        <f>SUM(C52:C58)</f>
        <v>92.429530303030305</v>
      </c>
      <c r="D59" s="83">
        <f>SUM(D52:D58)</f>
        <v>82.557346666666646</v>
      </c>
      <c r="E59" s="83">
        <f t="shared" ref="E59:H59" si="40">SUM(E52:E58)</f>
        <v>102.79498723636362</v>
      </c>
      <c r="F59" s="83">
        <f t="shared" si="40"/>
        <v>127.09658707199999</v>
      </c>
      <c r="G59" s="83">
        <f t="shared" si="40"/>
        <v>195.39797139980357</v>
      </c>
      <c r="H59" s="83">
        <f t="shared" si="40"/>
        <v>319.13602947120859</v>
      </c>
    </row>
    <row r="60" spans="1:10" x14ac:dyDescent="0.25">
      <c r="A60" s="79" t="s">
        <v>178</v>
      </c>
      <c r="B60" s="86">
        <f>B59-B50</f>
        <v>0</v>
      </c>
      <c r="C60" s="86">
        <f t="shared" ref="C60:H60" si="41">C59-C50</f>
        <v>0</v>
      </c>
      <c r="D60" s="86">
        <f t="shared" si="41"/>
        <v>0</v>
      </c>
      <c r="E60" s="86">
        <f t="shared" si="41"/>
        <v>0</v>
      </c>
      <c r="F60" s="86">
        <f t="shared" si="41"/>
        <v>0</v>
      </c>
      <c r="G60" s="86">
        <f t="shared" si="41"/>
        <v>0</v>
      </c>
      <c r="H60" s="86">
        <f t="shared" si="41"/>
        <v>0</v>
      </c>
    </row>
    <row r="62" spans="1:10" x14ac:dyDescent="0.25">
      <c r="A62" s="12" t="s">
        <v>98</v>
      </c>
      <c r="B62" s="3"/>
      <c r="C62" s="17">
        <f>+C43</f>
        <v>2015</v>
      </c>
      <c r="D62" s="17">
        <f t="shared" ref="D62:H62" si="42">+D43</f>
        <v>2016</v>
      </c>
      <c r="E62" s="17">
        <f t="shared" si="42"/>
        <v>2017</v>
      </c>
      <c r="F62" s="17">
        <f t="shared" si="42"/>
        <v>2018</v>
      </c>
      <c r="G62" s="17">
        <f t="shared" si="42"/>
        <v>2019</v>
      </c>
      <c r="H62" s="17">
        <f t="shared" si="42"/>
        <v>2020</v>
      </c>
    </row>
    <row r="63" spans="1:10" x14ac:dyDescent="0.25">
      <c r="A63" s="3" t="s">
        <v>172</v>
      </c>
      <c r="B63" s="3"/>
      <c r="C63" s="83"/>
      <c r="D63" s="83"/>
      <c r="E63" s="83"/>
      <c r="F63" s="83"/>
      <c r="G63" s="83"/>
      <c r="H63" s="83"/>
    </row>
    <row r="64" spans="1:10" x14ac:dyDescent="0.25">
      <c r="A64" s="3" t="s">
        <v>180</v>
      </c>
      <c r="B64" s="3"/>
      <c r="C64" s="83">
        <f>C10*(1+C72)/365*C70</f>
        <v>3.2543312577833121</v>
      </c>
      <c r="D64" s="83">
        <f t="shared" ref="D64:H64" si="43">D10*(1+D72)/365*D70</f>
        <v>3.8874440846824405</v>
      </c>
      <c r="E64" s="83">
        <f t="shared" si="43"/>
        <v>4.6445164632627645</v>
      </c>
      <c r="F64" s="83">
        <f t="shared" si="43"/>
        <v>5.5499408518057276</v>
      </c>
      <c r="G64" s="83">
        <f t="shared" si="43"/>
        <v>6.6329282824408455</v>
      </c>
      <c r="H64" s="83">
        <f t="shared" si="43"/>
        <v>7.9284630882440821</v>
      </c>
      <c r="J64" t="s">
        <v>243</v>
      </c>
    </row>
    <row r="65" spans="1:8" x14ac:dyDescent="0.25">
      <c r="A65" s="3" t="s">
        <v>181</v>
      </c>
      <c r="B65" s="3"/>
      <c r="C65" s="83"/>
      <c r="D65" s="83"/>
      <c r="E65" s="83"/>
      <c r="F65" s="83"/>
      <c r="G65" s="83"/>
      <c r="H65" s="83"/>
    </row>
    <row r="66" spans="1:8" x14ac:dyDescent="0.25">
      <c r="A66" s="3" t="s">
        <v>166</v>
      </c>
      <c r="B66" s="3"/>
      <c r="C66" s="83">
        <f>(C18+C17)/12</f>
        <v>7.666666666666667</v>
      </c>
      <c r="D66" s="83">
        <f>(D18+D17)/12</f>
        <v>10.416666666666666</v>
      </c>
      <c r="E66" s="83">
        <f t="shared" ref="E66:H66" si="44">(E18+E17)/12</f>
        <v>10.625</v>
      </c>
      <c r="F66" s="83">
        <f t="shared" si="44"/>
        <v>12.920000000000002</v>
      </c>
      <c r="G66" s="83">
        <f t="shared" si="44"/>
        <v>13.178400000000002</v>
      </c>
      <c r="H66" s="83">
        <f t="shared" si="44"/>
        <v>13.441968000000001</v>
      </c>
    </row>
    <row r="67" spans="1:8" x14ac:dyDescent="0.25">
      <c r="A67" s="3" t="s">
        <v>98</v>
      </c>
      <c r="B67" s="3"/>
      <c r="C67" s="83">
        <f>C63+C64-C65-C66</f>
        <v>-4.4123354088833544</v>
      </c>
      <c r="D67" s="83">
        <f t="shared" ref="D67:H67" si="45">D63+D64-D65-D66</f>
        <v>-6.5292225819842251</v>
      </c>
      <c r="E67" s="83">
        <f t="shared" si="45"/>
        <v>-5.9804835367372355</v>
      </c>
      <c r="F67" s="83">
        <f t="shared" si="45"/>
        <v>-7.3700591481942741</v>
      </c>
      <c r="G67" s="83">
        <f t="shared" si="45"/>
        <v>-6.5454717175591561</v>
      </c>
      <c r="H67" s="83">
        <f t="shared" si="45"/>
        <v>-5.5135049117559189</v>
      </c>
    </row>
    <row r="68" spans="1:8" x14ac:dyDescent="0.25">
      <c r="A68" s="3" t="s">
        <v>182</v>
      </c>
      <c r="B68" s="3"/>
      <c r="C68" s="83">
        <f>B67-C67</f>
        <v>4.4123354088833544</v>
      </c>
      <c r="D68" s="83">
        <f t="shared" ref="D68:H68" si="46">C67-D67</f>
        <v>2.1168871731008707</v>
      </c>
      <c r="E68" s="83">
        <f t="shared" si="46"/>
        <v>-0.54873904524698958</v>
      </c>
      <c r="F68" s="83">
        <f t="shared" si="46"/>
        <v>1.3895756114570386</v>
      </c>
      <c r="G68" s="83">
        <f t="shared" si="46"/>
        <v>-0.82458743063511797</v>
      </c>
      <c r="H68" s="83">
        <f t="shared" si="46"/>
        <v>-1.0319668058032372</v>
      </c>
    </row>
    <row r="69" spans="1:8" x14ac:dyDescent="0.25">
      <c r="A69" s="78" t="s">
        <v>183</v>
      </c>
      <c r="B69" s="3"/>
      <c r="C69" s="84"/>
      <c r="D69" s="84"/>
      <c r="E69" s="84"/>
      <c r="F69" s="84"/>
      <c r="G69" s="84"/>
      <c r="H69" s="84"/>
    </row>
    <row r="70" spans="1:8" x14ac:dyDescent="0.25">
      <c r="A70" s="78" t="s">
        <v>184</v>
      </c>
      <c r="B70" s="3"/>
      <c r="C70" s="84">
        <v>5</v>
      </c>
      <c r="D70" s="84">
        <v>5</v>
      </c>
      <c r="E70" s="84">
        <v>5</v>
      </c>
      <c r="F70" s="84">
        <v>5</v>
      </c>
      <c r="G70" s="84">
        <v>5</v>
      </c>
      <c r="H70" s="84">
        <v>5</v>
      </c>
    </row>
    <row r="71" spans="1:8" x14ac:dyDescent="0.25">
      <c r="A71" s="78" t="s">
        <v>185</v>
      </c>
      <c r="B71" s="3"/>
      <c r="C71" s="84"/>
      <c r="D71" s="84"/>
      <c r="E71" s="84"/>
      <c r="F71" s="84"/>
      <c r="G71" s="84"/>
      <c r="H71" s="84"/>
    </row>
    <row r="72" spans="1:8" x14ac:dyDescent="0.25">
      <c r="A72" s="78" t="s">
        <v>186</v>
      </c>
      <c r="B72" s="3"/>
      <c r="C72" s="4">
        <v>0.2</v>
      </c>
      <c r="D72" s="4">
        <v>0.2</v>
      </c>
      <c r="E72" s="4">
        <v>0.2</v>
      </c>
      <c r="F72" s="4">
        <v>0.2</v>
      </c>
      <c r="G72" s="4">
        <v>0.2</v>
      </c>
      <c r="H72" s="4">
        <v>0.2</v>
      </c>
    </row>
  </sheetData>
  <mergeCells count="3">
    <mergeCell ref="J32:K32"/>
    <mergeCell ref="J37:K37"/>
    <mergeCell ref="A4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1" customWidth="1"/>
    <col min="2" max="2" width="22.140625" style="21" customWidth="1"/>
    <col min="3" max="3" width="10.85546875" style="21"/>
    <col min="4" max="4" width="1.85546875" style="35" customWidth="1"/>
    <col min="5" max="5" width="23.28515625" style="21" customWidth="1"/>
    <col min="6" max="6" width="10.85546875" style="21"/>
    <col min="7" max="7" width="2.140625" style="20" customWidth="1"/>
    <col min="8" max="8" width="24" style="21" customWidth="1"/>
    <col min="9" max="16384" width="10.85546875" style="21"/>
  </cols>
  <sheetData>
    <row r="1" spans="1:6" ht="19.5" thickBot="1" x14ac:dyDescent="0.35">
      <c r="A1" s="18" t="s">
        <v>25</v>
      </c>
      <c r="B1" s="184" t="s">
        <v>26</v>
      </c>
      <c r="C1" s="184"/>
      <c r="D1" s="19"/>
      <c r="E1" s="184" t="s">
        <v>27</v>
      </c>
      <c r="F1" s="184"/>
    </row>
    <row r="2" spans="1:6" x14ac:dyDescent="0.25">
      <c r="A2" s="21" t="s">
        <v>28</v>
      </c>
      <c r="B2" s="22"/>
      <c r="C2" s="23" t="s">
        <v>29</v>
      </c>
      <c r="D2" s="24"/>
      <c r="E2" s="23"/>
      <c r="F2" s="25" t="s">
        <v>29</v>
      </c>
    </row>
    <row r="3" spans="1:6" x14ac:dyDescent="0.25">
      <c r="B3" s="26" t="s">
        <v>30</v>
      </c>
      <c r="C3" s="27">
        <v>32200</v>
      </c>
      <c r="D3" s="28"/>
      <c r="E3" s="27" t="s">
        <v>30</v>
      </c>
      <c r="F3" s="29">
        <v>32200</v>
      </c>
    </row>
    <row r="4" spans="1:6" x14ac:dyDescent="0.25">
      <c r="B4" s="26" t="s">
        <v>31</v>
      </c>
      <c r="C4" s="27">
        <v>1300</v>
      </c>
      <c r="D4" s="28"/>
      <c r="E4" s="27" t="s">
        <v>31</v>
      </c>
      <c r="F4" s="29">
        <v>1300</v>
      </c>
    </row>
    <row r="5" spans="1:6" x14ac:dyDescent="0.25">
      <c r="B5" s="26" t="s">
        <v>32</v>
      </c>
      <c r="C5" s="27">
        <v>5223</v>
      </c>
      <c r="D5" s="28"/>
      <c r="E5" s="27" t="s">
        <v>32</v>
      </c>
      <c r="F5" s="29">
        <v>5223</v>
      </c>
    </row>
    <row r="6" spans="1:6" x14ac:dyDescent="0.25">
      <c r="B6" s="26" t="s">
        <v>33</v>
      </c>
      <c r="C6" s="27">
        <v>1824</v>
      </c>
      <c r="D6" s="28"/>
      <c r="E6" s="27" t="s">
        <v>33</v>
      </c>
      <c r="F6" s="29">
        <v>1824</v>
      </c>
    </row>
    <row r="7" spans="1:6" x14ac:dyDescent="0.25">
      <c r="B7" s="26" t="s">
        <v>34</v>
      </c>
      <c r="C7" s="27">
        <f>C17</f>
        <v>37050</v>
      </c>
      <c r="D7" s="28"/>
      <c r="E7" s="27"/>
      <c r="F7" s="29"/>
    </row>
    <row r="8" spans="1:6" ht="15.75" thickBot="1" x14ac:dyDescent="0.3">
      <c r="B8" s="30" t="s">
        <v>35</v>
      </c>
      <c r="C8" s="31">
        <f>SUM(C3:C7)</f>
        <v>77597</v>
      </c>
      <c r="D8" s="32"/>
      <c r="E8" s="33" t="s">
        <v>35</v>
      </c>
      <c r="F8" s="34">
        <f>SUM(F3:F6)</f>
        <v>40547</v>
      </c>
    </row>
    <row r="9" spans="1:6" ht="15.75" thickBot="1" x14ac:dyDescent="0.3"/>
    <row r="10" spans="1:6" ht="18.75" x14ac:dyDescent="0.3">
      <c r="B10" s="185" t="s">
        <v>36</v>
      </c>
      <c r="C10" s="186"/>
    </row>
    <row r="11" spans="1:6" x14ac:dyDescent="0.25">
      <c r="B11" s="26" t="s">
        <v>37</v>
      </c>
      <c r="C11" s="29"/>
    </row>
    <row r="12" spans="1:6" x14ac:dyDescent="0.25">
      <c r="B12" s="26" t="s">
        <v>38</v>
      </c>
      <c r="C12" s="36">
        <f>C3/4</f>
        <v>8050</v>
      </c>
    </row>
    <row r="13" spans="1:6" x14ac:dyDescent="0.25">
      <c r="B13" s="26" t="s">
        <v>39</v>
      </c>
      <c r="C13" s="29">
        <v>6000</v>
      </c>
    </row>
    <row r="14" spans="1:6" x14ac:dyDescent="0.25">
      <c r="B14" s="26" t="s">
        <v>40</v>
      </c>
      <c r="C14" s="29">
        <v>20000</v>
      </c>
    </row>
    <row r="15" spans="1:6" x14ac:dyDescent="0.25">
      <c r="B15" s="26" t="s">
        <v>41</v>
      </c>
      <c r="C15" s="29">
        <v>3000</v>
      </c>
    </row>
    <row r="16" spans="1:6" x14ac:dyDescent="0.25">
      <c r="B16" s="26"/>
      <c r="C16" s="29"/>
    </row>
    <row r="17" spans="1:6" ht="15.75" thickBot="1" x14ac:dyDescent="0.3">
      <c r="B17" s="30" t="s">
        <v>42</v>
      </c>
      <c r="C17" s="34">
        <f>SUM(C12:C15)</f>
        <v>37050</v>
      </c>
    </row>
    <row r="18" spans="1:6" ht="15.75" thickBot="1" x14ac:dyDescent="0.3"/>
    <row r="19" spans="1:6" x14ac:dyDescent="0.25">
      <c r="A19" s="21" t="s">
        <v>43</v>
      </c>
      <c r="B19" s="22"/>
      <c r="C19" s="23" t="s">
        <v>29</v>
      </c>
      <c r="D19" s="24"/>
      <c r="E19" s="23"/>
      <c r="F19" s="25" t="s">
        <v>29</v>
      </c>
    </row>
    <row r="20" spans="1:6" x14ac:dyDescent="0.25">
      <c r="B20" s="26" t="s">
        <v>44</v>
      </c>
      <c r="C20" s="27">
        <v>75000</v>
      </c>
      <c r="D20" s="28"/>
      <c r="E20" s="27" t="s">
        <v>44</v>
      </c>
      <c r="F20" s="29">
        <v>75000</v>
      </c>
    </row>
    <row r="21" spans="1:6" x14ac:dyDescent="0.25">
      <c r="B21" s="26" t="s">
        <v>45</v>
      </c>
      <c r="C21" s="27">
        <v>400</v>
      </c>
      <c r="D21" s="28"/>
      <c r="E21" s="27" t="s">
        <v>45</v>
      </c>
      <c r="F21" s="29">
        <v>400</v>
      </c>
    </row>
    <row r="22" spans="1:6" x14ac:dyDescent="0.25">
      <c r="B22" s="26" t="s">
        <v>46</v>
      </c>
      <c r="C22" s="27">
        <v>3000</v>
      </c>
      <c r="D22" s="28"/>
      <c r="E22" s="27" t="s">
        <v>46</v>
      </c>
      <c r="F22" s="29">
        <v>3000</v>
      </c>
    </row>
    <row r="23" spans="1:6" x14ac:dyDescent="0.25">
      <c r="B23" s="26" t="s">
        <v>47</v>
      </c>
      <c r="C23" s="27">
        <v>500</v>
      </c>
      <c r="D23" s="28"/>
      <c r="E23" s="27" t="s">
        <v>47</v>
      </c>
      <c r="F23" s="29">
        <v>500</v>
      </c>
    </row>
    <row r="24" spans="1:6" x14ac:dyDescent="0.25">
      <c r="B24" s="26" t="s">
        <v>48</v>
      </c>
      <c r="C24" s="27">
        <f>21*200</f>
        <v>4200</v>
      </c>
      <c r="D24" s="28"/>
      <c r="E24" s="27" t="s">
        <v>48</v>
      </c>
      <c r="F24" s="29">
        <f>21*200</f>
        <v>4200</v>
      </c>
    </row>
    <row r="25" spans="1:6" x14ac:dyDescent="0.25">
      <c r="B25" s="26" t="s">
        <v>49</v>
      </c>
      <c r="C25" s="37">
        <f>SUM(C20:C24)</f>
        <v>83100</v>
      </c>
      <c r="D25" s="28"/>
      <c r="E25" s="27" t="s">
        <v>49</v>
      </c>
      <c r="F25" s="38">
        <f>SUM(F20:F24)</f>
        <v>83100</v>
      </c>
    </row>
    <row r="26" spans="1:6" x14ac:dyDescent="0.25">
      <c r="B26" s="26"/>
      <c r="C26" s="27"/>
      <c r="D26" s="28"/>
      <c r="E26" s="27"/>
      <c r="F26" s="29"/>
    </row>
    <row r="27" spans="1:6" ht="15.75" thickBot="1" x14ac:dyDescent="0.3">
      <c r="B27" s="30" t="s">
        <v>50</v>
      </c>
      <c r="C27" s="31">
        <f>C8+C25</f>
        <v>160697</v>
      </c>
      <c r="D27" s="32"/>
      <c r="E27" s="33" t="s">
        <v>50</v>
      </c>
      <c r="F27" s="34">
        <f>F8+F25</f>
        <v>123647</v>
      </c>
    </row>
    <row r="28" spans="1:6" ht="15.75" thickBot="1" x14ac:dyDescent="0.3"/>
    <row r="29" spans="1:6" x14ac:dyDescent="0.25">
      <c r="A29" s="21" t="s">
        <v>51</v>
      </c>
      <c r="B29" s="22" t="s">
        <v>26</v>
      </c>
      <c r="C29" s="23"/>
      <c r="D29" s="24"/>
      <c r="E29" s="23" t="s">
        <v>27</v>
      </c>
      <c r="F29" s="25"/>
    </row>
    <row r="30" spans="1:6" x14ac:dyDescent="0.25">
      <c r="A30" s="21" t="s">
        <v>52</v>
      </c>
      <c r="B30" s="26" t="s">
        <v>53</v>
      </c>
      <c r="C30" s="27">
        <v>11</v>
      </c>
      <c r="D30" s="28"/>
      <c r="E30" s="27" t="s">
        <v>53</v>
      </c>
      <c r="F30" s="29">
        <v>11</v>
      </c>
    </row>
    <row r="31" spans="1:6" x14ac:dyDescent="0.25">
      <c r="B31" s="26" t="s">
        <v>54</v>
      </c>
      <c r="C31" s="39">
        <v>17</v>
      </c>
      <c r="D31" s="28"/>
      <c r="E31" s="27" t="s">
        <v>54</v>
      </c>
      <c r="F31" s="36">
        <v>17</v>
      </c>
    </row>
    <row r="32" spans="1:6" x14ac:dyDescent="0.25">
      <c r="B32" s="26" t="s">
        <v>55</v>
      </c>
      <c r="C32" s="39">
        <v>15</v>
      </c>
      <c r="D32" s="28"/>
      <c r="E32" s="27" t="s">
        <v>55</v>
      </c>
      <c r="F32" s="36">
        <v>15</v>
      </c>
    </row>
    <row r="33" spans="1:6" x14ac:dyDescent="0.25">
      <c r="B33" s="26" t="s">
        <v>56</v>
      </c>
      <c r="C33" s="39">
        <v>65</v>
      </c>
      <c r="D33" s="28"/>
      <c r="E33" s="27" t="s">
        <v>56</v>
      </c>
      <c r="F33" s="36">
        <v>65</v>
      </c>
    </row>
    <row r="34" spans="1:6" x14ac:dyDescent="0.25">
      <c r="B34" s="26" t="s">
        <v>57</v>
      </c>
      <c r="C34" s="27">
        <f>0.01*(C33*C31+(100-65)*C32)</f>
        <v>16.3</v>
      </c>
      <c r="D34" s="28"/>
      <c r="E34" s="27" t="s">
        <v>57</v>
      </c>
      <c r="F34" s="29">
        <f>0.01*(F33*F31+(100-65)*F32)</f>
        <v>16.3</v>
      </c>
    </row>
    <row r="35" spans="1:6" x14ac:dyDescent="0.25">
      <c r="B35" s="26" t="s">
        <v>58</v>
      </c>
      <c r="C35" s="39">
        <v>3</v>
      </c>
      <c r="D35" s="28"/>
      <c r="E35" s="27" t="s">
        <v>58</v>
      </c>
      <c r="F35" s="36">
        <v>6</v>
      </c>
    </row>
    <row r="36" spans="1:6" x14ac:dyDescent="0.25">
      <c r="B36" s="26" t="s">
        <v>59</v>
      </c>
      <c r="C36" s="39">
        <v>4</v>
      </c>
      <c r="D36" s="28"/>
      <c r="E36" s="27" t="s">
        <v>59</v>
      </c>
      <c r="F36" s="36">
        <v>5</v>
      </c>
    </row>
    <row r="37" spans="1:6" x14ac:dyDescent="0.25">
      <c r="B37" s="26" t="s">
        <v>60</v>
      </c>
      <c r="C37" s="39">
        <v>48</v>
      </c>
      <c r="D37" s="28"/>
      <c r="E37" s="27" t="s">
        <v>60</v>
      </c>
      <c r="F37" s="36">
        <v>48</v>
      </c>
    </row>
    <row r="38" spans="1:6" ht="15.75" thickBot="1" x14ac:dyDescent="0.3">
      <c r="B38" s="30" t="s">
        <v>61</v>
      </c>
      <c r="C38" s="31">
        <f>C30*C34*C35*C36*C37</f>
        <v>103276.80000000002</v>
      </c>
      <c r="D38" s="32"/>
      <c r="E38" s="33" t="s">
        <v>61</v>
      </c>
      <c r="F38" s="34">
        <f>F30*F34*F35*F36*F37</f>
        <v>258192.00000000006</v>
      </c>
    </row>
    <row r="39" spans="1:6" ht="15.75" thickBot="1" x14ac:dyDescent="0.3"/>
    <row r="40" spans="1:6" x14ac:dyDescent="0.25">
      <c r="A40" s="21" t="s">
        <v>62</v>
      </c>
      <c r="B40" s="22" t="s">
        <v>63</v>
      </c>
      <c r="C40" s="23">
        <v>1</v>
      </c>
      <c r="D40" s="24"/>
      <c r="E40" s="23" t="s">
        <v>63</v>
      </c>
      <c r="F40" s="25">
        <v>1</v>
      </c>
    </row>
    <row r="41" spans="1:6" x14ac:dyDescent="0.25">
      <c r="B41" s="26" t="s">
        <v>64</v>
      </c>
      <c r="C41" s="39">
        <v>25</v>
      </c>
      <c r="D41" s="28"/>
      <c r="E41" s="27" t="s">
        <v>64</v>
      </c>
      <c r="F41" s="36">
        <v>25</v>
      </c>
    </row>
    <row r="42" spans="1:6" x14ac:dyDescent="0.25">
      <c r="B42" s="26" t="s">
        <v>65</v>
      </c>
      <c r="C42" s="39">
        <v>2</v>
      </c>
      <c r="D42" s="28"/>
      <c r="E42" s="27" t="s">
        <v>65</v>
      </c>
      <c r="F42" s="36">
        <v>2</v>
      </c>
    </row>
    <row r="43" spans="1:6" x14ac:dyDescent="0.25">
      <c r="B43" s="26" t="s">
        <v>59</v>
      </c>
      <c r="C43" s="39">
        <v>6</v>
      </c>
      <c r="D43" s="28"/>
      <c r="E43" s="27" t="s">
        <v>59</v>
      </c>
      <c r="F43" s="36">
        <v>6</v>
      </c>
    </row>
    <row r="44" spans="1:6" x14ac:dyDescent="0.25">
      <c r="B44" s="26" t="s">
        <v>60</v>
      </c>
      <c r="C44" s="39">
        <v>48</v>
      </c>
      <c r="D44" s="28"/>
      <c r="E44" s="27" t="s">
        <v>60</v>
      </c>
      <c r="F44" s="36">
        <v>48</v>
      </c>
    </row>
    <row r="45" spans="1:6" ht="15.75" thickBot="1" x14ac:dyDescent="0.3">
      <c r="B45" s="30" t="s">
        <v>66</v>
      </c>
      <c r="C45" s="31">
        <f>C40*C41*C42*C43*C44</f>
        <v>14400</v>
      </c>
      <c r="D45" s="32"/>
      <c r="E45" s="33" t="s">
        <v>66</v>
      </c>
      <c r="F45" s="34">
        <f>F40*F41*F42*F43*F44</f>
        <v>14400</v>
      </c>
    </row>
    <row r="46" spans="1:6" ht="15.75" thickBot="1" x14ac:dyDescent="0.3"/>
    <row r="47" spans="1:6" ht="18.75" x14ac:dyDescent="0.25">
      <c r="A47" s="40" t="s">
        <v>67</v>
      </c>
      <c r="B47" s="41" t="s">
        <v>26</v>
      </c>
      <c r="C47" s="42"/>
      <c r="D47" s="43"/>
      <c r="E47" s="42" t="s">
        <v>27</v>
      </c>
      <c r="F47" s="44"/>
    </row>
    <row r="48" spans="1:6" x14ac:dyDescent="0.25">
      <c r="B48" s="26" t="s">
        <v>68</v>
      </c>
      <c r="C48" s="45">
        <f>C27</f>
        <v>160697</v>
      </c>
      <c r="D48" s="28"/>
      <c r="E48" s="27"/>
      <c r="F48" s="46">
        <f>C27</f>
        <v>160697</v>
      </c>
    </row>
    <row r="49" spans="1:6" x14ac:dyDescent="0.25">
      <c r="B49" s="26" t="s">
        <v>69</v>
      </c>
      <c r="C49" s="27">
        <f>C38+C45</f>
        <v>117676.80000000002</v>
      </c>
      <c r="D49" s="28"/>
      <c r="E49" s="27"/>
      <c r="F49" s="29">
        <f>F38+F45</f>
        <v>272592.00000000006</v>
      </c>
    </row>
    <row r="50" spans="1:6" ht="15.75" thickBot="1" x14ac:dyDescent="0.3">
      <c r="B50" s="30" t="s">
        <v>70</v>
      </c>
      <c r="C50" s="47">
        <f>C49-C48</f>
        <v>-43020.199999999983</v>
      </c>
      <c r="D50" s="48"/>
      <c r="E50" s="33"/>
      <c r="F50" s="49">
        <f>F49-F48</f>
        <v>111895.00000000006</v>
      </c>
    </row>
    <row r="51" spans="1:6" ht="15.75" thickBot="1" x14ac:dyDescent="0.3"/>
    <row r="52" spans="1:6" x14ac:dyDescent="0.25">
      <c r="A52" s="40" t="s">
        <v>71</v>
      </c>
      <c r="B52" s="50" t="s">
        <v>72</v>
      </c>
      <c r="C52" s="23" t="s">
        <v>73</v>
      </c>
      <c r="D52" s="24"/>
      <c r="E52" s="25" t="s">
        <v>74</v>
      </c>
    </row>
    <row r="53" spans="1:6" x14ac:dyDescent="0.25">
      <c r="B53" s="26">
        <v>1</v>
      </c>
      <c r="C53" s="51">
        <f>C50</f>
        <v>-43020.199999999983</v>
      </c>
      <c r="D53" s="52"/>
      <c r="E53" s="53">
        <f>C53/B53</f>
        <v>-43020.199999999983</v>
      </c>
    </row>
    <row r="54" spans="1:6" x14ac:dyDescent="0.25">
      <c r="B54" s="26">
        <v>2</v>
      </c>
      <c r="C54" s="51">
        <f>F50+C53</f>
        <v>68874.800000000076</v>
      </c>
      <c r="D54" s="52"/>
      <c r="E54" s="53">
        <f t="shared" ref="E54:E57" si="0">C54/B54</f>
        <v>34437.400000000038</v>
      </c>
    </row>
    <row r="55" spans="1:6" x14ac:dyDescent="0.25">
      <c r="B55" s="26">
        <v>3</v>
      </c>
      <c r="C55" s="51">
        <f>C54+$F$50</f>
        <v>180769.80000000013</v>
      </c>
      <c r="D55" s="52"/>
      <c r="E55" s="53">
        <f t="shared" si="0"/>
        <v>60256.600000000042</v>
      </c>
    </row>
    <row r="56" spans="1:6" x14ac:dyDescent="0.25">
      <c r="B56" s="26">
        <v>4</v>
      </c>
      <c r="C56" s="51">
        <f t="shared" ref="C56:C57" si="1">C55+$F$50</f>
        <v>292664.80000000016</v>
      </c>
      <c r="D56" s="52"/>
      <c r="E56" s="53">
        <f t="shared" si="0"/>
        <v>73166.200000000041</v>
      </c>
    </row>
    <row r="57" spans="1:6" ht="15.75" thickBot="1" x14ac:dyDescent="0.3">
      <c r="B57" s="30">
        <v>5</v>
      </c>
      <c r="C57" s="54">
        <f t="shared" si="1"/>
        <v>404559.80000000022</v>
      </c>
      <c r="D57" s="55"/>
      <c r="E57" s="56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0" t="s">
        <v>75</v>
      </c>
    </row>
    <row r="3" spans="1:2" x14ac:dyDescent="0.25">
      <c r="B3" s="10" t="s">
        <v>76</v>
      </c>
    </row>
    <row r="4" spans="1:2" x14ac:dyDescent="0.25">
      <c r="A4" s="57">
        <v>7265</v>
      </c>
      <c r="B4" s="58" t="s">
        <v>77</v>
      </c>
    </row>
    <row r="5" spans="1:2" x14ac:dyDescent="0.25">
      <c r="A5" s="57"/>
      <c r="B5" s="59" t="s">
        <v>78</v>
      </c>
    </row>
    <row r="6" spans="1:2" x14ac:dyDescent="0.25">
      <c r="A6" s="8">
        <f>89+58</f>
        <v>147</v>
      </c>
      <c r="B6" t="s">
        <v>79</v>
      </c>
    </row>
    <row r="7" spans="1:2" x14ac:dyDescent="0.25">
      <c r="A7" s="8">
        <v>278</v>
      </c>
      <c r="B7" t="s">
        <v>80</v>
      </c>
    </row>
    <row r="8" spans="1:2" x14ac:dyDescent="0.25">
      <c r="A8" s="8">
        <v>1336</v>
      </c>
      <c r="B8" t="s">
        <v>81</v>
      </c>
    </row>
    <row r="9" spans="1:2" x14ac:dyDescent="0.25">
      <c r="A9" s="8">
        <v>3720</v>
      </c>
      <c r="B9" t="s">
        <v>82</v>
      </c>
    </row>
    <row r="10" spans="1:2" x14ac:dyDescent="0.25">
      <c r="A10" s="8">
        <f>520+600+900</f>
        <v>2020</v>
      </c>
      <c r="B10" t="s">
        <v>83</v>
      </c>
    </row>
    <row r="12" spans="1:2" x14ac:dyDescent="0.25">
      <c r="B12" s="10" t="s">
        <v>84</v>
      </c>
    </row>
    <row r="13" spans="1:2" x14ac:dyDescent="0.25">
      <c r="B13" s="10" t="s">
        <v>85</v>
      </c>
    </row>
    <row r="14" spans="1:2" x14ac:dyDescent="0.25">
      <c r="A14" s="7">
        <v>8055</v>
      </c>
      <c r="B14" t="s">
        <v>86</v>
      </c>
    </row>
    <row r="15" spans="1:2" x14ac:dyDescent="0.25">
      <c r="A15" s="7">
        <v>6444</v>
      </c>
      <c r="B15" t="s">
        <v>87</v>
      </c>
    </row>
    <row r="16" spans="1:2" x14ac:dyDescent="0.25">
      <c r="A16" s="8">
        <v>32220</v>
      </c>
      <c r="B16" t="s">
        <v>88</v>
      </c>
    </row>
    <row r="17" spans="1:2" x14ac:dyDescent="0.25">
      <c r="A17" s="8">
        <v>5200</v>
      </c>
      <c r="B17" t="s">
        <v>89</v>
      </c>
    </row>
    <row r="18" spans="1:2" x14ac:dyDescent="0.25">
      <c r="A18" s="8">
        <v>5223</v>
      </c>
      <c r="B18" t="s">
        <v>90</v>
      </c>
    </row>
    <row r="19" spans="1:2" x14ac:dyDescent="0.25">
      <c r="A19" s="8">
        <v>1824</v>
      </c>
      <c r="B19" t="s">
        <v>91</v>
      </c>
    </row>
    <row r="21" spans="1:2" x14ac:dyDescent="0.25">
      <c r="B21" s="10" t="s">
        <v>92</v>
      </c>
    </row>
    <row r="22" spans="1:2" x14ac:dyDescent="0.25">
      <c r="A22" s="8">
        <v>5000</v>
      </c>
      <c r="B22" t="s">
        <v>93</v>
      </c>
    </row>
    <row r="24" spans="1:2" x14ac:dyDescent="0.25">
      <c r="B24" s="10" t="s">
        <v>94</v>
      </c>
    </row>
    <row r="25" spans="1:2" x14ac:dyDescent="0.25">
      <c r="A25" s="7">
        <v>1900</v>
      </c>
      <c r="B25" t="s">
        <v>95</v>
      </c>
    </row>
    <row r="26" spans="1:2" x14ac:dyDescent="0.25">
      <c r="A26" s="60">
        <v>20000</v>
      </c>
      <c r="B26" t="s">
        <v>96</v>
      </c>
    </row>
    <row r="28" spans="1:2" x14ac:dyDescent="0.25">
      <c r="A28" s="7">
        <v>428</v>
      </c>
      <c r="B28" t="s">
        <v>97</v>
      </c>
    </row>
    <row r="29" spans="1:2" x14ac:dyDescent="0.25">
      <c r="A29" s="57">
        <f>SUM(A6:A28)</f>
        <v>93795</v>
      </c>
      <c r="B29" t="s">
        <v>98</v>
      </c>
    </row>
    <row r="30" spans="1:2" x14ac:dyDescent="0.25">
      <c r="B30" s="10" t="s">
        <v>99</v>
      </c>
    </row>
    <row r="31" spans="1:2" x14ac:dyDescent="0.25">
      <c r="A31" s="61">
        <v>250000</v>
      </c>
      <c r="B31" t="s">
        <v>100</v>
      </c>
    </row>
    <row r="32" spans="1:2" x14ac:dyDescent="0.25">
      <c r="A32" s="9">
        <v>40000</v>
      </c>
      <c r="B32" t="s">
        <v>101</v>
      </c>
    </row>
    <row r="33" spans="1:6" x14ac:dyDescent="0.25">
      <c r="A33" s="61">
        <v>20000</v>
      </c>
      <c r="B33" t="s">
        <v>102</v>
      </c>
    </row>
    <row r="34" spans="1:6" x14ac:dyDescent="0.25">
      <c r="A34" s="61">
        <v>60000</v>
      </c>
      <c r="B34" t="s">
        <v>103</v>
      </c>
    </row>
    <row r="35" spans="1:6" x14ac:dyDescent="0.25">
      <c r="A35" s="61">
        <v>20000</v>
      </c>
      <c r="B35" t="s">
        <v>104</v>
      </c>
    </row>
    <row r="36" spans="1:6" x14ac:dyDescent="0.25">
      <c r="A36" s="61">
        <v>10000</v>
      </c>
      <c r="B36" t="s">
        <v>105</v>
      </c>
    </row>
    <row r="37" spans="1:6" x14ac:dyDescent="0.25">
      <c r="A37" s="61">
        <v>10000</v>
      </c>
      <c r="B37" t="s">
        <v>106</v>
      </c>
    </row>
    <row r="38" spans="1:6" x14ac:dyDescent="0.25">
      <c r="A38" s="61">
        <v>5000</v>
      </c>
      <c r="B38" t="s">
        <v>107</v>
      </c>
    </row>
    <row r="39" spans="1:6" x14ac:dyDescent="0.25">
      <c r="A39" s="62">
        <f>SUM(A31:A38)</f>
        <v>415000</v>
      </c>
      <c r="B39" s="10" t="s">
        <v>108</v>
      </c>
    </row>
    <row r="41" spans="1:6" x14ac:dyDescent="0.25">
      <c r="A41" s="63">
        <f>A29-14499</f>
        <v>79296</v>
      </c>
      <c r="B41" t="s">
        <v>109</v>
      </c>
      <c r="C41" s="57">
        <f>8055+6444</f>
        <v>14499</v>
      </c>
      <c r="D41" t="s">
        <v>110</v>
      </c>
    </row>
    <row r="43" spans="1:6" x14ac:dyDescent="0.25">
      <c r="B43" s="10" t="s">
        <v>111</v>
      </c>
      <c r="C43" s="10"/>
      <c r="D43" s="10"/>
      <c r="E43" s="10"/>
      <c r="F43" s="10"/>
    </row>
    <row r="44" spans="1:6" x14ac:dyDescent="0.25">
      <c r="B44" s="10" t="s">
        <v>112</v>
      </c>
      <c r="C44" s="10"/>
      <c r="D44" s="10"/>
      <c r="E44" s="10"/>
      <c r="F44" s="10"/>
    </row>
    <row r="45" spans="1:6" x14ac:dyDescent="0.25">
      <c r="B45" s="10" t="s">
        <v>113</v>
      </c>
      <c r="C45" s="10"/>
      <c r="D45" s="10"/>
      <c r="E45" s="10"/>
      <c r="F45" s="10"/>
    </row>
    <row r="46" spans="1:6" x14ac:dyDescent="0.25">
      <c r="B46" s="10" t="s">
        <v>114</v>
      </c>
    </row>
    <row r="48" spans="1:6" x14ac:dyDescent="0.25">
      <c r="A48" s="77">
        <v>80000</v>
      </c>
      <c r="B48" s="10" t="s">
        <v>144</v>
      </c>
    </row>
    <row r="50" spans="1:2" x14ac:dyDescent="0.25">
      <c r="A50" s="1"/>
      <c r="B50" s="10" t="s">
        <v>115</v>
      </c>
    </row>
    <row r="52" spans="1:2" x14ac:dyDescent="0.25">
      <c r="B52" s="10" t="s">
        <v>116</v>
      </c>
    </row>
    <row r="53" spans="1:2" x14ac:dyDescent="0.25">
      <c r="B53" s="64" t="s">
        <v>117</v>
      </c>
    </row>
    <row r="54" spans="1:2" x14ac:dyDescent="0.25">
      <c r="B54" s="65" t="s">
        <v>118</v>
      </c>
    </row>
    <row r="55" spans="1:2" x14ac:dyDescent="0.25">
      <c r="B55" s="65" t="s">
        <v>119</v>
      </c>
    </row>
    <row r="56" spans="1:2" x14ac:dyDescent="0.25">
      <c r="B56" s="65" t="s">
        <v>120</v>
      </c>
    </row>
    <row r="57" spans="1:2" x14ac:dyDescent="0.25">
      <c r="B57" s="65" t="s">
        <v>121</v>
      </c>
    </row>
    <row r="58" spans="1:2" x14ac:dyDescent="0.25">
      <c r="B58" s="65" t="s">
        <v>122</v>
      </c>
    </row>
    <row r="59" spans="1:2" x14ac:dyDescent="0.25">
      <c r="B59" s="65" t="s">
        <v>123</v>
      </c>
    </row>
    <row r="61" spans="1:2" x14ac:dyDescent="0.25">
      <c r="B61" s="64" t="s">
        <v>124</v>
      </c>
    </row>
    <row r="62" spans="1:2" x14ac:dyDescent="0.25">
      <c r="B62" s="66" t="s">
        <v>125</v>
      </c>
    </row>
    <row r="63" spans="1:2" x14ac:dyDescent="0.25">
      <c r="B63" s="66" t="s">
        <v>126</v>
      </c>
    </row>
    <row r="64" spans="1:2" x14ac:dyDescent="0.25">
      <c r="B64" s="66" t="s">
        <v>127</v>
      </c>
    </row>
    <row r="65" spans="1:5" ht="21.75" customHeight="1" x14ac:dyDescent="0.25">
      <c r="A65" s="67"/>
      <c r="B65" s="68" t="s">
        <v>128</v>
      </c>
      <c r="C65" s="69" t="s">
        <v>129</v>
      </c>
    </row>
    <row r="66" spans="1:5" ht="18.75" customHeight="1" x14ac:dyDescent="0.25">
      <c r="A66" s="67"/>
      <c r="B66" s="70" t="s">
        <v>130</v>
      </c>
      <c r="C66" s="71" t="s">
        <v>131</v>
      </c>
      <c r="E66" s="72" t="s">
        <v>132</v>
      </c>
    </row>
    <row r="67" spans="1:5" ht="16.5" customHeight="1" x14ac:dyDescent="0.25">
      <c r="A67" s="67"/>
      <c r="B67" s="73" t="s">
        <v>133</v>
      </c>
      <c r="C67" s="74" t="s">
        <v>134</v>
      </c>
    </row>
    <row r="68" spans="1:5" ht="15.75" customHeight="1" x14ac:dyDescent="0.25">
      <c r="A68" s="67"/>
      <c r="B68" s="70" t="s">
        <v>135</v>
      </c>
      <c r="C68" s="71" t="s">
        <v>136</v>
      </c>
    </row>
    <row r="69" spans="1:5" ht="18.75" customHeight="1" x14ac:dyDescent="0.25">
      <c r="A69" s="67"/>
      <c r="B69" s="73" t="s">
        <v>137</v>
      </c>
      <c r="C69" s="74" t="s">
        <v>138</v>
      </c>
    </row>
    <row r="70" spans="1:5" ht="17.25" customHeight="1" x14ac:dyDescent="0.25">
      <c r="A70" s="67"/>
      <c r="B70" s="70" t="s">
        <v>139</v>
      </c>
      <c r="C70" s="71" t="s">
        <v>140</v>
      </c>
    </row>
    <row r="71" spans="1:5" ht="18" customHeight="1" x14ac:dyDescent="0.25">
      <c r="A71" s="67"/>
      <c r="B71" s="75" t="s">
        <v>141</v>
      </c>
      <c r="C71" s="76" t="s">
        <v>142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45" zoomScaleNormal="100" workbookViewId="0">
      <selection activeCell="E44" sqref="E44"/>
    </sheetView>
  </sheetViews>
  <sheetFormatPr baseColWidth="10" defaultColWidth="8.28515625" defaultRowHeight="15" x14ac:dyDescent="0.25"/>
  <cols>
    <col min="1" max="1" width="20.42578125" customWidth="1"/>
    <col min="3" max="3" width="11" customWidth="1"/>
    <col min="4" max="4" width="11.42578125" customWidth="1"/>
    <col min="5" max="7" width="11" customWidth="1"/>
    <col min="8" max="8" width="10" customWidth="1"/>
  </cols>
  <sheetData>
    <row r="1" spans="1:9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9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9" x14ac:dyDescent="0.25">
      <c r="A4" s="106" t="s">
        <v>232</v>
      </c>
      <c r="C4" s="10" t="s">
        <v>204</v>
      </c>
    </row>
    <row r="5" spans="1:9" x14ac:dyDescent="0.25">
      <c r="C5" s="98" t="s">
        <v>219</v>
      </c>
      <c r="D5" s="98" t="s">
        <v>203</v>
      </c>
      <c r="E5" s="98" t="s">
        <v>214</v>
      </c>
      <c r="F5" s="98" t="s">
        <v>215</v>
      </c>
      <c r="G5" s="98" t="s">
        <v>208</v>
      </c>
    </row>
    <row r="6" spans="1:9" x14ac:dyDescent="0.25">
      <c r="C6" s="93">
        <v>10</v>
      </c>
      <c r="D6" s="93">
        <f>12*360</f>
        <v>4320</v>
      </c>
      <c r="E6" s="94">
        <f>D6*C6</f>
        <v>43200</v>
      </c>
      <c r="F6" s="95">
        <v>0.3</v>
      </c>
      <c r="G6" s="94">
        <f>F6*E6</f>
        <v>12960</v>
      </c>
    </row>
    <row r="8" spans="1:9" x14ac:dyDescent="0.25">
      <c r="C8" s="10" t="s">
        <v>202</v>
      </c>
    </row>
    <row r="9" spans="1:9" x14ac:dyDescent="0.25">
      <c r="C9" s="98" t="s">
        <v>209</v>
      </c>
      <c r="D9" s="98" t="s">
        <v>212</v>
      </c>
      <c r="E9" s="98" t="s">
        <v>213</v>
      </c>
      <c r="F9" s="98" t="s">
        <v>207</v>
      </c>
      <c r="G9" s="100" t="s">
        <v>206</v>
      </c>
    </row>
    <row r="10" spans="1:9" x14ac:dyDescent="0.25">
      <c r="C10" s="96">
        <v>220</v>
      </c>
      <c r="D10" s="97">
        <f>G6/C10</f>
        <v>58.909090909090907</v>
      </c>
      <c r="E10" s="96">
        <v>2400</v>
      </c>
      <c r="F10" s="97">
        <f>E10*D10/1000</f>
        <v>141.38181818181818</v>
      </c>
      <c r="G10" s="93">
        <v>471</v>
      </c>
      <c r="I10" t="s">
        <v>205</v>
      </c>
    </row>
    <row r="12" spans="1:9" x14ac:dyDescent="0.25">
      <c r="C12" s="10" t="s">
        <v>259</v>
      </c>
    </row>
    <row r="13" spans="1:9" x14ac:dyDescent="0.25">
      <c r="C13" s="98" t="s">
        <v>210</v>
      </c>
      <c r="D13" s="98" t="s">
        <v>211</v>
      </c>
      <c r="E13" s="98" t="s">
        <v>215</v>
      </c>
      <c r="F13" s="98" t="s">
        <v>216</v>
      </c>
      <c r="G13" s="98" t="s">
        <v>19</v>
      </c>
    </row>
    <row r="14" spans="1:9" x14ac:dyDescent="0.25">
      <c r="C14" s="93">
        <v>2</v>
      </c>
      <c r="D14" s="93">
        <f>9*200*C14</f>
        <v>3600</v>
      </c>
      <c r="E14" s="95">
        <v>0.3</v>
      </c>
      <c r="F14" s="93">
        <v>20</v>
      </c>
      <c r="G14" s="94">
        <f>F14*E14*D14</f>
        <v>21600</v>
      </c>
    </row>
    <row r="16" spans="1:9" x14ac:dyDescent="0.25">
      <c r="C16" s="10" t="s">
        <v>20</v>
      </c>
      <c r="G16" s="10" t="s">
        <v>233</v>
      </c>
    </row>
    <row r="17" spans="1:10" x14ac:dyDescent="0.25">
      <c r="C17" s="98" t="s">
        <v>215</v>
      </c>
      <c r="D17" s="98" t="s">
        <v>217</v>
      </c>
      <c r="E17" s="98" t="s">
        <v>218</v>
      </c>
      <c r="G17" s="98" t="s">
        <v>235</v>
      </c>
      <c r="H17" s="98" t="s">
        <v>234</v>
      </c>
      <c r="I17" s="98" t="s">
        <v>236</v>
      </c>
    </row>
    <row r="18" spans="1:10" x14ac:dyDescent="0.25">
      <c r="C18" s="95">
        <v>0.05</v>
      </c>
      <c r="D18" s="99">
        <v>400000</v>
      </c>
      <c r="E18" s="94">
        <f>D18*C18</f>
        <v>20000</v>
      </c>
      <c r="G18" s="93">
        <v>357</v>
      </c>
      <c r="H18" s="93">
        <v>70</v>
      </c>
      <c r="I18" s="94">
        <f>H18*G18</f>
        <v>24990</v>
      </c>
    </row>
    <row r="19" spans="1:10" x14ac:dyDescent="0.25">
      <c r="C19" s="109"/>
      <c r="D19" s="110"/>
      <c r="E19" s="108"/>
    </row>
    <row r="20" spans="1:10" x14ac:dyDescent="0.25">
      <c r="C20" s="109"/>
      <c r="D20" s="110"/>
      <c r="E20" s="108"/>
    </row>
    <row r="22" spans="1:10" x14ac:dyDescent="0.25">
      <c r="A22" s="106" t="s">
        <v>231</v>
      </c>
    </row>
    <row r="23" spans="1:10" x14ac:dyDescent="0.25">
      <c r="A23" s="187" t="s">
        <v>201</v>
      </c>
      <c r="B23" s="94" t="s">
        <v>224</v>
      </c>
      <c r="C23" s="98">
        <v>2015</v>
      </c>
      <c r="D23" s="98">
        <v>2016</v>
      </c>
      <c r="E23" s="98">
        <v>2017</v>
      </c>
      <c r="F23" s="98">
        <v>2018</v>
      </c>
      <c r="G23" s="98">
        <v>2019</v>
      </c>
      <c r="H23" s="98">
        <v>2020</v>
      </c>
    </row>
    <row r="24" spans="1:10" x14ac:dyDescent="0.25">
      <c r="A24" s="187"/>
      <c r="B24" s="3"/>
      <c r="C24" s="98" t="s">
        <v>246</v>
      </c>
      <c r="D24" s="98" t="s">
        <v>247</v>
      </c>
      <c r="E24" s="12"/>
      <c r="F24" s="12"/>
      <c r="G24" s="12"/>
      <c r="H24" s="12"/>
      <c r="I24" s="3" t="s">
        <v>190</v>
      </c>
    </row>
    <row r="25" spans="1:10" x14ac:dyDescent="0.25">
      <c r="A25" s="16" t="s">
        <v>1</v>
      </c>
      <c r="B25" s="4">
        <v>0.2</v>
      </c>
      <c r="C25" s="83">
        <f>'BP ev+JSC'!C6</f>
        <v>141.38181818181818</v>
      </c>
      <c r="D25" s="83">
        <f>'BP ev+JSC'!D6</f>
        <v>169.65818181818182</v>
      </c>
      <c r="E25" s="83">
        <f>'BP ev+JSC'!E6</f>
        <v>203.58981818181817</v>
      </c>
      <c r="F25" s="83">
        <f>'BP ev+JSC'!F6</f>
        <v>244.30778181818181</v>
      </c>
      <c r="G25" s="83">
        <f>'BP ev+JSC'!G6</f>
        <v>293.16933818181815</v>
      </c>
      <c r="H25" s="83">
        <f>'BP ev+JSC'!H6</f>
        <v>351.80320581818177</v>
      </c>
      <c r="I25" s="113">
        <v>0.74692825014475961</v>
      </c>
      <c r="J25" t="s">
        <v>220</v>
      </c>
    </row>
    <row r="26" spans="1:10" x14ac:dyDescent="0.25">
      <c r="A26" s="16" t="s">
        <v>221</v>
      </c>
      <c r="B26" s="4">
        <v>0.15</v>
      </c>
      <c r="C26" s="83">
        <f>'BP ev+JSC'!C7</f>
        <v>21.6</v>
      </c>
      <c r="D26" s="83">
        <f>'BP ev+JSC'!D7</f>
        <v>24.84</v>
      </c>
      <c r="E26" s="83">
        <f>'BP ev+JSC'!E7</f>
        <v>28.565999999999999</v>
      </c>
      <c r="F26" s="83">
        <f>'BP ev+JSC'!F7</f>
        <v>32.850899999999996</v>
      </c>
      <c r="G26" s="83">
        <f>'BP ev+JSC'!G7</f>
        <v>37.778534999999991</v>
      </c>
      <c r="H26" s="83">
        <f>'BP ev+JSC'!H7</f>
        <v>43.445315249999986</v>
      </c>
    </row>
    <row r="27" spans="1:10" x14ac:dyDescent="0.25">
      <c r="A27" s="16" t="s">
        <v>248</v>
      </c>
      <c r="B27" s="4">
        <v>0.2</v>
      </c>
      <c r="C27" s="87">
        <f>'BP ev+JSC'!C8</f>
        <v>10</v>
      </c>
      <c r="D27" s="83">
        <f>'BP ev+JSC'!D8</f>
        <v>12</v>
      </c>
      <c r="E27" s="83">
        <f>'BP ev+JSC'!E8</f>
        <v>14.399999999999999</v>
      </c>
      <c r="F27" s="83">
        <f>'BP ev+JSC'!F8</f>
        <v>17.279999999999998</v>
      </c>
      <c r="G27" s="83">
        <f>'BP ev+JSC'!G8</f>
        <v>20.735999999999997</v>
      </c>
      <c r="H27" s="83">
        <f>'BP ev+JSC'!H8</f>
        <v>24.883199999999995</v>
      </c>
    </row>
    <row r="28" spans="1:10" x14ac:dyDescent="0.25">
      <c r="A28" s="16" t="s">
        <v>233</v>
      </c>
      <c r="B28" s="4">
        <v>0.2</v>
      </c>
      <c r="C28" s="84">
        <v>25</v>
      </c>
      <c r="D28" s="84">
        <f>'BP ev+JSC'!D9</f>
        <v>29.987999999999996</v>
      </c>
      <c r="E28" s="84">
        <f>'BP ev+JSC'!E9</f>
        <v>35.985599999999991</v>
      </c>
      <c r="F28" s="84">
        <f>'BP ev+JSC'!F9</f>
        <v>43.182719999999989</v>
      </c>
      <c r="G28" s="84">
        <f>'BP ev+JSC'!G9</f>
        <v>51.819263999999983</v>
      </c>
      <c r="H28" s="84">
        <f>'BP ev+JSC'!H9</f>
        <v>62.183116799999979</v>
      </c>
    </row>
    <row r="29" spans="1:10" x14ac:dyDescent="0.25">
      <c r="A29" s="102" t="s">
        <v>3</v>
      </c>
      <c r="B29" s="12"/>
      <c r="C29" s="103">
        <f>'BP ev+JSC'!C10</f>
        <v>197.97181818181818</v>
      </c>
      <c r="D29" s="103">
        <f>'BP ev+JSC'!D10</f>
        <v>236.48618181818182</v>
      </c>
      <c r="E29" s="103">
        <f>'BP ev+JSC'!E10</f>
        <v>282.54141818181819</v>
      </c>
      <c r="F29" s="103">
        <f>'BP ev+JSC'!F10</f>
        <v>337.62140181818177</v>
      </c>
      <c r="G29" s="103">
        <f>'BP ev+JSC'!G10</f>
        <v>403.50313718181809</v>
      </c>
      <c r="H29" s="103">
        <f>'BP ev+JSC'!H10</f>
        <v>482.31483786818171</v>
      </c>
    </row>
    <row r="30" spans="1:10" x14ac:dyDescent="0.25">
      <c r="A30" s="79" t="s">
        <v>24</v>
      </c>
      <c r="B30" s="4">
        <v>0.02</v>
      </c>
      <c r="C30" s="87">
        <f>'BP ev+JSC'!C11</f>
        <v>55.583750000000002</v>
      </c>
      <c r="D30" s="83">
        <f>'BP ev+JSC'!D11</f>
        <v>56.695425</v>
      </c>
      <c r="E30" s="83">
        <f>'BP ev+JSC'!E11</f>
        <v>57.829333500000004</v>
      </c>
      <c r="F30" s="83">
        <f>'BP ev+JSC'!F11</f>
        <v>58.985920170000007</v>
      </c>
      <c r="G30" s="83">
        <f>'BP ev+JSC'!G11</f>
        <v>60.16563857340001</v>
      </c>
      <c r="H30" s="83">
        <f>'BP ev+JSC'!H11</f>
        <v>61.368951344868009</v>
      </c>
    </row>
    <row r="31" spans="1:10" x14ac:dyDescent="0.25">
      <c r="A31" s="79" t="s">
        <v>153</v>
      </c>
      <c r="B31" s="4">
        <v>0.02</v>
      </c>
      <c r="C31" s="84">
        <f>'BP ev+JSC'!C12</f>
        <v>5</v>
      </c>
      <c r="D31" s="83">
        <f>'BP ev+JSC'!D12</f>
        <v>5.0999999999999996</v>
      </c>
      <c r="E31" s="83">
        <f>'BP ev+JSC'!E12</f>
        <v>5.202</v>
      </c>
      <c r="F31" s="83">
        <f>'BP ev+JSC'!F12</f>
        <v>5.3060400000000003</v>
      </c>
      <c r="G31" s="83">
        <f>'BP ev+JSC'!G12</f>
        <v>5.4121608000000005</v>
      </c>
      <c r="H31" s="83">
        <f>'BP ev+JSC'!H12</f>
        <v>5.5204040160000005</v>
      </c>
      <c r="J31" t="s">
        <v>249</v>
      </c>
    </row>
    <row r="32" spans="1:10" x14ac:dyDescent="0.25">
      <c r="A32" s="79" t="s">
        <v>250</v>
      </c>
      <c r="B32" s="3"/>
      <c r="C32" s="84">
        <v>3</v>
      </c>
      <c r="D32" s="83">
        <v>3</v>
      </c>
      <c r="E32" s="83">
        <v>3</v>
      </c>
      <c r="F32" s="83">
        <v>3</v>
      </c>
      <c r="G32" s="83">
        <v>3</v>
      </c>
      <c r="H32" s="83">
        <v>3</v>
      </c>
    </row>
    <row r="33" spans="1:10" x14ac:dyDescent="0.25">
      <c r="A33" s="79" t="s">
        <v>155</v>
      </c>
      <c r="B33" s="3"/>
      <c r="C33" s="84">
        <v>2</v>
      </c>
      <c r="D33" s="83">
        <v>2</v>
      </c>
      <c r="E33" s="83">
        <v>2</v>
      </c>
      <c r="F33" s="83">
        <v>2</v>
      </c>
      <c r="G33" s="83">
        <v>2</v>
      </c>
      <c r="H33" s="83">
        <v>2</v>
      </c>
    </row>
    <row r="34" spans="1:10" x14ac:dyDescent="0.25">
      <c r="A34" s="79" t="s">
        <v>251</v>
      </c>
      <c r="B34" s="4">
        <v>0.02</v>
      </c>
      <c r="C34" s="83">
        <f>'BP ev+JSC'!C15</f>
        <v>9.8042500000000015</v>
      </c>
      <c r="D34" s="83">
        <f>'BP ev+JSC'!D15</f>
        <v>10.000335000000002</v>
      </c>
      <c r="E34" s="83">
        <f>'BP ev+JSC'!E15</f>
        <v>10.200341700000001</v>
      </c>
      <c r="F34" s="83">
        <f>'BP ev+JSC'!F15</f>
        <v>10.404348534</v>
      </c>
      <c r="G34" s="83">
        <f>'BP ev+JSC'!G15</f>
        <v>10.612435504680001</v>
      </c>
      <c r="H34" s="83">
        <f>'BP ev+JSC'!H15</f>
        <v>10.824684214773601</v>
      </c>
    </row>
    <row r="35" spans="1:10" x14ac:dyDescent="0.25">
      <c r="A35" s="79" t="s">
        <v>92</v>
      </c>
      <c r="B35" s="4">
        <v>0.02</v>
      </c>
      <c r="C35" s="84">
        <f>'BP ev+JSC'!C16</f>
        <v>15</v>
      </c>
      <c r="D35" s="84">
        <f>'BP ev+JSC'!D16</f>
        <v>5</v>
      </c>
      <c r="E35" s="84">
        <f>'BP ev+JSC'!E16</f>
        <v>5.0999999999999996</v>
      </c>
      <c r="F35" s="84">
        <f>'BP ev+JSC'!F16</f>
        <v>5.202</v>
      </c>
      <c r="G35" s="84">
        <f>'BP ev+JSC'!G16</f>
        <v>5.3060400000000003</v>
      </c>
      <c r="H35" s="84">
        <f>'BP ev+JSC'!H16</f>
        <v>5.4121608000000005</v>
      </c>
    </row>
    <row r="36" spans="1:10" x14ac:dyDescent="0.25">
      <c r="A36" s="79" t="s">
        <v>222</v>
      </c>
      <c r="B36" s="4">
        <v>0.02</v>
      </c>
      <c r="C36" s="87">
        <f>'BP ev+JSC'!C17</f>
        <v>80</v>
      </c>
      <c r="D36" s="84">
        <f>'BP ev+JSC'!D17</f>
        <v>100</v>
      </c>
      <c r="E36" s="84">
        <f>'BP ev+JSC'!E17</f>
        <v>102</v>
      </c>
      <c r="F36" s="84">
        <f>'BP ev+JSC'!F17</f>
        <v>104.04</v>
      </c>
      <c r="G36" s="84">
        <f>'BP ev+JSC'!G17</f>
        <v>106.1208</v>
      </c>
      <c r="H36" s="84">
        <f>'BP ev+JSC'!H17</f>
        <v>108.243216</v>
      </c>
    </row>
    <row r="37" spans="1:10" x14ac:dyDescent="0.25">
      <c r="A37" s="79" t="s">
        <v>191</v>
      </c>
      <c r="B37" s="4">
        <v>0.02</v>
      </c>
      <c r="C37" s="84">
        <f>'BP ev+JSC'!C18</f>
        <v>12</v>
      </c>
      <c r="D37" s="84">
        <f>'BP ev+JSC'!D18</f>
        <v>25</v>
      </c>
      <c r="E37" s="84">
        <f>'BP ev+JSC'!E18</f>
        <v>25.5</v>
      </c>
      <c r="F37" s="84">
        <f>'BP ev+JSC'!F18</f>
        <v>51</v>
      </c>
      <c r="G37" s="84">
        <f>'BP ev+JSC'!G18</f>
        <v>52.02</v>
      </c>
      <c r="H37" s="84">
        <f>'BP ev+JSC'!H18</f>
        <v>53.060400000000001</v>
      </c>
    </row>
    <row r="38" spans="1:10" x14ac:dyDescent="0.25">
      <c r="A38" s="79" t="s">
        <v>192</v>
      </c>
      <c r="B38" s="4">
        <v>0.02</v>
      </c>
      <c r="C38" s="84">
        <f>'BP ev+JSC'!C19</f>
        <v>10</v>
      </c>
      <c r="D38" s="84">
        <f>'BP ev+JSC'!D19</f>
        <v>15</v>
      </c>
      <c r="E38" s="84">
        <f>'BP ev+JSC'!E19</f>
        <v>15.3</v>
      </c>
      <c r="F38" s="84">
        <f>'BP ev+JSC'!F19</f>
        <v>40</v>
      </c>
      <c r="G38" s="84">
        <f>'BP ev+JSC'!G19</f>
        <v>40.799999999999997</v>
      </c>
      <c r="H38" s="84">
        <f>'BP ev+JSC'!H19</f>
        <v>41.616</v>
      </c>
    </row>
    <row r="39" spans="1:10" x14ac:dyDescent="0.25">
      <c r="A39" s="79" t="s">
        <v>152</v>
      </c>
      <c r="B39" s="4">
        <v>0.02</v>
      </c>
      <c r="C39" s="84">
        <f>'BP ev+JSC'!C20</f>
        <v>5</v>
      </c>
      <c r="D39" s="83">
        <f>'BP ev+JSC'!D20</f>
        <v>5.0999999999999996</v>
      </c>
      <c r="E39" s="83">
        <f>'BP ev+JSC'!E20</f>
        <v>5.202</v>
      </c>
      <c r="F39" s="83">
        <f>'BP ev+JSC'!F20</f>
        <v>5.3060400000000003</v>
      </c>
      <c r="G39" s="83">
        <f>'BP ev+JSC'!G20</f>
        <v>5.4121608000000005</v>
      </c>
      <c r="H39" s="83">
        <f>'BP ev+JSC'!H20</f>
        <v>5.5204040160000005</v>
      </c>
    </row>
    <row r="40" spans="1:10" x14ac:dyDescent="0.25">
      <c r="A40" s="79" t="s">
        <v>223</v>
      </c>
      <c r="B40" s="4">
        <v>0.02</v>
      </c>
      <c r="C40" s="84">
        <f>'BP ev+JSC'!C21</f>
        <v>15</v>
      </c>
      <c r="D40" s="83">
        <f>'BP ev+JSC'!D21</f>
        <v>15.3</v>
      </c>
      <c r="E40" s="83">
        <f>'BP ev+JSC'!E21</f>
        <v>15.606000000000002</v>
      </c>
      <c r="F40" s="83">
        <f>'BP ev+JSC'!F21</f>
        <v>15.918120000000002</v>
      </c>
      <c r="G40" s="83">
        <f>'BP ev+JSC'!G21</f>
        <v>16.236482400000003</v>
      </c>
      <c r="H40" s="83">
        <f>'BP ev+JSC'!H21</f>
        <v>16.561212048000005</v>
      </c>
    </row>
    <row r="41" spans="1:10" x14ac:dyDescent="0.25">
      <c r="A41" s="79" t="s">
        <v>187</v>
      </c>
      <c r="B41" s="5">
        <v>5</v>
      </c>
      <c r="C41" s="83">
        <f>'BP ev+JSC'!C22</f>
        <v>1.4</v>
      </c>
      <c r="D41" s="83">
        <f>'BP ev+JSC'!D22</f>
        <v>1.1199999999999999</v>
      </c>
      <c r="E41" s="83">
        <f>'BP ev+JSC'!E22</f>
        <v>0.89599999999999991</v>
      </c>
      <c r="F41" s="83">
        <f>'BP ev+JSC'!F22</f>
        <v>0.71679999999999988</v>
      </c>
      <c r="G41" s="83">
        <f>'BP ev+JSC'!G22</f>
        <v>0.57343999999999995</v>
      </c>
      <c r="H41" s="83">
        <f>'BP ev+JSC'!H22</f>
        <v>0.45875199999999994</v>
      </c>
      <c r="I41" s="114"/>
      <c r="J41" s="81" t="s">
        <v>258</v>
      </c>
    </row>
    <row r="42" spans="1:10" x14ac:dyDescent="0.25">
      <c r="A42" s="79" t="s">
        <v>188</v>
      </c>
      <c r="B42" s="5">
        <v>5</v>
      </c>
      <c r="C42" s="83">
        <f>'BP ev+JSC'!C23</f>
        <v>0</v>
      </c>
      <c r="D42" s="83">
        <f>'BP ev+JSC'!D23</f>
        <v>10</v>
      </c>
      <c r="E42" s="83">
        <f>'BP ev+JSC'!E23</f>
        <v>8</v>
      </c>
      <c r="F42" s="83">
        <f>'BP ev+JSC'!F23</f>
        <v>6.4</v>
      </c>
      <c r="G42" s="83">
        <f>'BP ev+JSC'!G23</f>
        <v>5.12</v>
      </c>
      <c r="H42" s="83">
        <f>'BP ev+JSC'!H23</f>
        <v>4.0960000000000001</v>
      </c>
      <c r="J42" t="s">
        <v>257</v>
      </c>
    </row>
    <row r="43" spans="1:10" x14ac:dyDescent="0.25">
      <c r="A43" s="79" t="s">
        <v>199</v>
      </c>
      <c r="B43" s="83">
        <f>'BP ev+JSC'!B24</f>
        <v>4.5</v>
      </c>
      <c r="C43" s="85">
        <f>'BP ev+JSC'!C24</f>
        <v>4.5</v>
      </c>
      <c r="D43" s="83"/>
      <c r="E43" s="83"/>
      <c r="F43" s="83"/>
      <c r="G43" s="83"/>
      <c r="H43" s="83"/>
      <c r="J43" t="s">
        <v>253</v>
      </c>
    </row>
    <row r="44" spans="1:10" x14ac:dyDescent="0.25">
      <c r="A44" s="101" t="s">
        <v>147</v>
      </c>
      <c r="B44" s="104"/>
      <c r="C44" s="103">
        <f>'BP ev+JSC'!C25</f>
        <v>-20.316181818181832</v>
      </c>
      <c r="D44" s="103">
        <f>'BP ev+JSC'!D25</f>
        <v>-16.829578181818192</v>
      </c>
      <c r="E44" s="103">
        <f>'BP ev+JSC'!E25</f>
        <v>26.70574298181819</v>
      </c>
      <c r="F44" s="103">
        <f>'BP ev+JSC'!F25</f>
        <v>29.34213311418182</v>
      </c>
      <c r="G44" s="103">
        <f>'BP ev+JSC'!G25</f>
        <v>90.723979103738088</v>
      </c>
      <c r="H44" s="103">
        <f>'BP ev+JSC'!H25</f>
        <v>164.6326534285401</v>
      </c>
    </row>
    <row r="45" spans="1:10" x14ac:dyDescent="0.25">
      <c r="A45" s="101" t="s">
        <v>162</v>
      </c>
      <c r="B45" s="104"/>
      <c r="C45" s="105">
        <f>'BP ev+JSC'!C26</f>
        <v>-0.10262158525777322</v>
      </c>
      <c r="D45" s="105">
        <f>'BP ev+JSC'!D26</f>
        <v>-7.1165165137459546E-2</v>
      </c>
      <c r="E45" s="105">
        <f>'BP ev+JSC'!E26</f>
        <v>9.4519745648876094E-2</v>
      </c>
      <c r="F45" s="105">
        <f>'BP ev+JSC'!F26</f>
        <v>8.6908391932995266E-2</v>
      </c>
      <c r="G45" s="105">
        <f>'BP ev+JSC'!G26</f>
        <v>0.22484082710578271</v>
      </c>
      <c r="H45" s="105">
        <f>'BP ev+JSC'!H26</f>
        <v>0.34133856249625638</v>
      </c>
    </row>
    <row r="46" spans="1:10" x14ac:dyDescent="0.25">
      <c r="A46" s="78" t="s">
        <v>148</v>
      </c>
      <c r="B46" s="3"/>
      <c r="C46" s="83"/>
      <c r="D46" s="83"/>
      <c r="E46" s="83"/>
      <c r="F46" s="83"/>
      <c r="G46" s="83"/>
      <c r="H46" s="83"/>
    </row>
    <row r="47" spans="1:10" x14ac:dyDescent="0.25">
      <c r="A47" s="78" t="s">
        <v>254</v>
      </c>
      <c r="B47" s="3"/>
      <c r="C47" s="83"/>
      <c r="D47" s="83"/>
      <c r="E47" s="83"/>
      <c r="F47" s="83"/>
      <c r="G47" s="83"/>
      <c r="H47" s="83"/>
    </row>
    <row r="48" spans="1:10" x14ac:dyDescent="0.25">
      <c r="A48" s="78" t="s">
        <v>150</v>
      </c>
      <c r="B48" s="4">
        <v>0.25</v>
      </c>
      <c r="C48" s="83">
        <f>'BP ev+JSC'!C29</f>
        <v>5.079045454545458</v>
      </c>
      <c r="D48" s="83">
        <f>'BP ev+JSC'!D29</f>
        <v>4.2073945454545481</v>
      </c>
      <c r="E48" s="83">
        <f>'BP ev+JSC'!E29</f>
        <v>-6.6764357454545475</v>
      </c>
      <c r="F48" s="83">
        <f>'BP ev+JSC'!F29</f>
        <v>-7.335533278545455</v>
      </c>
      <c r="G48" s="83">
        <f>'BP ev+JSC'!G29</f>
        <v>-22.680994775934522</v>
      </c>
      <c r="H48" s="83">
        <f>'BP ev+JSC'!H29</f>
        <v>-41.158163357135024</v>
      </c>
    </row>
    <row r="49" spans="1:13" x14ac:dyDescent="0.25">
      <c r="A49" s="101" t="s">
        <v>151</v>
      </c>
      <c r="B49" s="12"/>
      <c r="C49" s="86">
        <f>'BP ev+JSC'!C30</f>
        <v>-15.237136363636374</v>
      </c>
      <c r="D49" s="86">
        <f>'BP ev+JSC'!D30</f>
        <v>-12.622183636363644</v>
      </c>
      <c r="E49" s="86">
        <f>'BP ev+JSC'!E30</f>
        <v>20.029307236363643</v>
      </c>
      <c r="F49" s="86">
        <f>'BP ev+JSC'!F30</f>
        <v>22.006599835636365</v>
      </c>
      <c r="G49" s="86">
        <f>'BP ev+JSC'!G30</f>
        <v>68.042984327803566</v>
      </c>
      <c r="H49" s="86">
        <f>'BP ev+JSC'!H30</f>
        <v>123.47449007140507</v>
      </c>
    </row>
    <row r="52" spans="1:13" x14ac:dyDescent="0.25">
      <c r="A52" s="106" t="s">
        <v>245</v>
      </c>
    </row>
    <row r="53" spans="1:13" x14ac:dyDescent="0.25">
      <c r="A53" s="106"/>
      <c r="C53" s="98">
        <v>2015</v>
      </c>
      <c r="D53" s="98">
        <v>2016</v>
      </c>
      <c r="E53" s="98">
        <v>2017</v>
      </c>
      <c r="F53" s="98">
        <v>2018</v>
      </c>
      <c r="G53" s="98">
        <v>2019</v>
      </c>
      <c r="H53" s="98">
        <v>2020</v>
      </c>
    </row>
    <row r="54" spans="1:13" x14ac:dyDescent="0.25">
      <c r="A54" s="12" t="s">
        <v>200</v>
      </c>
      <c r="B54" s="2"/>
      <c r="C54" s="112">
        <f t="shared" ref="C54:H54" si="0">+C25</f>
        <v>141.38181818181818</v>
      </c>
      <c r="D54" s="112">
        <f t="shared" si="0"/>
        <v>169.65818181818182</v>
      </c>
      <c r="E54" s="112">
        <f t="shared" si="0"/>
        <v>203.58981818181817</v>
      </c>
      <c r="F54" s="112">
        <f t="shared" si="0"/>
        <v>244.30778181818181</v>
      </c>
      <c r="G54" s="112">
        <f t="shared" si="0"/>
        <v>293.16933818181815</v>
      </c>
      <c r="H54" s="112">
        <f t="shared" si="0"/>
        <v>351.80320581818177</v>
      </c>
      <c r="J54" s="177" t="s">
        <v>163</v>
      </c>
      <c r="K54" s="177"/>
    </row>
    <row r="55" spans="1:13" x14ac:dyDescent="0.25">
      <c r="A55" s="12" t="s">
        <v>156</v>
      </c>
      <c r="B55" s="83"/>
      <c r="C55" s="83">
        <f>'BP ev+JSC'!C33</f>
        <v>-13.837136363636374</v>
      </c>
      <c r="D55" s="83">
        <f>'BP ev+JSC'!D33</f>
        <v>-1.5021836363636449</v>
      </c>
      <c r="E55" s="83">
        <f>'BP ev+JSC'!E33</f>
        <v>28.925307236363643</v>
      </c>
      <c r="F55" s="83">
        <f>'BP ev+JSC'!F33</f>
        <v>29.123399835636363</v>
      </c>
      <c r="G55" s="83">
        <f>'BP ev+JSC'!G33</f>
        <v>73.736424327803576</v>
      </c>
      <c r="H55" s="83">
        <f>'BP ev+JSC'!H33</f>
        <v>128.02924207140506</v>
      </c>
      <c r="J55" s="3" t="s">
        <v>196</v>
      </c>
      <c r="K55" s="3">
        <v>20</v>
      </c>
    </row>
    <row r="56" spans="1:13" x14ac:dyDescent="0.25">
      <c r="A56" s="79" t="s">
        <v>161</v>
      </c>
      <c r="B56" s="84">
        <v>30</v>
      </c>
      <c r="C56" s="83"/>
      <c r="D56" s="84">
        <v>0</v>
      </c>
      <c r="E56" s="84">
        <v>0</v>
      </c>
      <c r="F56" s="84"/>
      <c r="G56" s="83"/>
      <c r="H56" s="83"/>
      <c r="J56" s="3" t="s">
        <v>197</v>
      </c>
      <c r="K56" s="3">
        <v>10</v>
      </c>
    </row>
    <row r="57" spans="1:13" x14ac:dyDescent="0.25">
      <c r="A57" s="79" t="s">
        <v>157</v>
      </c>
      <c r="B57" s="84">
        <v>70</v>
      </c>
      <c r="C57" s="83"/>
      <c r="D57" s="83"/>
      <c r="E57" s="83"/>
      <c r="F57" s="83"/>
      <c r="G57" s="83"/>
      <c r="H57" s="83"/>
      <c r="J57" s="3" t="s">
        <v>198</v>
      </c>
      <c r="K57" s="3">
        <f>+K55+K56</f>
        <v>30</v>
      </c>
    </row>
    <row r="58" spans="1:13" x14ac:dyDescent="0.25">
      <c r="A58" s="79" t="s">
        <v>158</v>
      </c>
      <c r="B58" s="83"/>
      <c r="C58" s="83"/>
      <c r="D58" s="83"/>
      <c r="E58" s="83"/>
      <c r="F58" s="83"/>
      <c r="G58" s="83"/>
      <c r="H58" s="83"/>
    </row>
    <row r="59" spans="1:13" x14ac:dyDescent="0.25">
      <c r="A59" s="79" t="s">
        <v>159</v>
      </c>
      <c r="B59" s="83"/>
      <c r="C59" s="83">
        <f>'BP ev+JSC'!C37</f>
        <v>4.4123354088833544</v>
      </c>
      <c r="D59" s="83">
        <f>'BP ev+JSC'!D37</f>
        <v>2.1168871731008707</v>
      </c>
      <c r="E59" s="83">
        <f>'BP ev+JSC'!E37</f>
        <v>-0.54873904524698958</v>
      </c>
      <c r="F59" s="83">
        <f>'BP ev+JSC'!F37</f>
        <v>1.3895756114570386</v>
      </c>
      <c r="G59" s="83">
        <f>'BP ev+JSC'!G37</f>
        <v>-0.82458743063511797</v>
      </c>
      <c r="H59" s="83">
        <f>'BP ev+JSC'!H37</f>
        <v>-1.0319668058032372</v>
      </c>
      <c r="J59" s="178" t="s">
        <v>195</v>
      </c>
      <c r="K59" s="179"/>
    </row>
    <row r="60" spans="1:13" x14ac:dyDescent="0.25">
      <c r="A60" s="79" t="s">
        <v>169</v>
      </c>
      <c r="B60" s="83">
        <v>-7</v>
      </c>
      <c r="C60" s="83"/>
      <c r="D60" s="83"/>
      <c r="E60" s="83"/>
      <c r="F60" s="83"/>
      <c r="G60" s="83"/>
      <c r="H60" s="83"/>
      <c r="J60" s="3" t="s">
        <v>193</v>
      </c>
      <c r="K60" s="3">
        <v>35</v>
      </c>
    </row>
    <row r="61" spans="1:13" x14ac:dyDescent="0.25">
      <c r="A61" s="79" t="s">
        <v>171</v>
      </c>
      <c r="B61" s="83"/>
      <c r="C61" s="84">
        <v>-50</v>
      </c>
      <c r="D61" s="83"/>
      <c r="E61" s="83"/>
      <c r="F61" s="83"/>
      <c r="G61" s="83"/>
      <c r="H61" s="83"/>
      <c r="J61" s="3" t="s">
        <v>194</v>
      </c>
      <c r="K61" s="3">
        <v>35</v>
      </c>
      <c r="M61" t="s">
        <v>244</v>
      </c>
    </row>
    <row r="62" spans="1:13" x14ac:dyDescent="0.25">
      <c r="A62" s="79" t="s">
        <v>176</v>
      </c>
      <c r="B62" s="83">
        <v>-8</v>
      </c>
      <c r="C62" s="83"/>
      <c r="D62" s="83"/>
      <c r="E62" s="83"/>
      <c r="F62" s="83"/>
      <c r="G62" s="83"/>
      <c r="H62" s="83"/>
      <c r="J62" s="3" t="s">
        <v>198</v>
      </c>
      <c r="K62" s="3">
        <f>+K60+K61</f>
        <v>70</v>
      </c>
      <c r="M62" t="s">
        <v>256</v>
      </c>
    </row>
    <row r="63" spans="1:13" x14ac:dyDescent="0.25">
      <c r="A63" s="101" t="s">
        <v>160</v>
      </c>
      <c r="B63" s="103">
        <f>SUM(B55:B62)</f>
        <v>85</v>
      </c>
      <c r="C63" s="103">
        <f>B63+SUM(C55:C62)</f>
        <v>25.575199045246983</v>
      </c>
      <c r="D63" s="103">
        <f>C63+SUM(D55:D62)</f>
        <v>26.189902581984207</v>
      </c>
      <c r="E63" s="103">
        <f t="shared" ref="E63:H63" si="1">D63+SUM(E55:E62)</f>
        <v>54.56647077310086</v>
      </c>
      <c r="F63" s="103">
        <f>E63+SUM(F55:F62)</f>
        <v>85.079446220194257</v>
      </c>
      <c r="G63" s="103">
        <f t="shared" si="1"/>
        <v>157.99128311736271</v>
      </c>
      <c r="H63" s="103">
        <f t="shared" si="1"/>
        <v>284.98855838296453</v>
      </c>
    </row>
    <row r="67" spans="1:8" x14ac:dyDescent="0.25">
      <c r="A67" s="106" t="s">
        <v>179</v>
      </c>
    </row>
    <row r="68" spans="1:8" x14ac:dyDescent="0.25">
      <c r="A68" s="12" t="s">
        <v>179</v>
      </c>
      <c r="B68" s="3"/>
      <c r="C68" s="111">
        <v>2015</v>
      </c>
      <c r="D68" s="111">
        <v>2016</v>
      </c>
      <c r="E68" s="111">
        <v>2017</v>
      </c>
      <c r="F68" s="111">
        <v>2018</v>
      </c>
      <c r="G68" s="111">
        <v>2019</v>
      </c>
      <c r="H68" s="111">
        <v>2020</v>
      </c>
    </row>
    <row r="69" spans="1:8" x14ac:dyDescent="0.25">
      <c r="A69" s="12" t="s">
        <v>226</v>
      </c>
      <c r="B69" s="83">
        <f>B57</f>
        <v>70</v>
      </c>
      <c r="C69" s="83">
        <f>'BP ev+JSC'!C44</f>
        <v>54.762863636363626</v>
      </c>
      <c r="D69" s="83">
        <f>'BP ev+JSC'!D44</f>
        <v>42.140679999999982</v>
      </c>
      <c r="E69" s="83">
        <f>'BP ev+JSC'!E44</f>
        <v>62.169987236363625</v>
      </c>
      <c r="F69" s="83">
        <f>'BP ev+JSC'!F44</f>
        <v>84.17658707199999</v>
      </c>
      <c r="G69" s="83">
        <f>'BP ev+JSC'!G44</f>
        <v>152.21957139980356</v>
      </c>
      <c r="H69" s="83">
        <f>'BP ev+JSC'!H44</f>
        <v>275.69406147120861</v>
      </c>
    </row>
    <row r="70" spans="1:8" x14ac:dyDescent="0.25">
      <c r="A70" s="12" t="s">
        <v>163</v>
      </c>
      <c r="B70" s="83">
        <f>B56</f>
        <v>30</v>
      </c>
      <c r="C70" s="83">
        <f>'BP ev+JSC'!C45</f>
        <v>30</v>
      </c>
      <c r="D70" s="83">
        <f>'BP ev+JSC'!D45</f>
        <v>30</v>
      </c>
      <c r="E70" s="83">
        <f>'BP ev+JSC'!E45</f>
        <v>30</v>
      </c>
      <c r="F70" s="83">
        <f>'BP ev+JSC'!F45</f>
        <v>30</v>
      </c>
      <c r="G70" s="83">
        <f>'BP ev+JSC'!G45</f>
        <v>30</v>
      </c>
      <c r="H70" s="83">
        <f>'BP ev+JSC'!H45</f>
        <v>30</v>
      </c>
    </row>
    <row r="71" spans="1:8" x14ac:dyDescent="0.25">
      <c r="A71" s="12" t="s">
        <v>164</v>
      </c>
      <c r="B71" s="83"/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</row>
    <row r="72" spans="1:8" x14ac:dyDescent="0.25">
      <c r="A72" s="12" t="s">
        <v>165</v>
      </c>
      <c r="B72" s="83"/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</row>
    <row r="73" spans="1:8" x14ac:dyDescent="0.25">
      <c r="A73" s="79" t="s">
        <v>225</v>
      </c>
      <c r="B73" s="83"/>
      <c r="C73" s="83">
        <v>7.666666666666667</v>
      </c>
      <c r="D73" s="83">
        <v>10.416666666666666</v>
      </c>
      <c r="E73" s="83">
        <v>10.625</v>
      </c>
      <c r="F73" s="83">
        <v>12.920000000000002</v>
      </c>
      <c r="G73" s="83">
        <v>13.178400000000002</v>
      </c>
      <c r="H73" s="83">
        <v>13.441968000000001</v>
      </c>
    </row>
    <row r="74" spans="1:8" x14ac:dyDescent="0.25">
      <c r="A74" s="79" t="s">
        <v>167</v>
      </c>
      <c r="B74" s="83"/>
      <c r="C74" s="83"/>
      <c r="D74" s="83"/>
      <c r="E74" s="83"/>
      <c r="F74" s="83"/>
      <c r="G74" s="83"/>
      <c r="H74" s="83"/>
    </row>
    <row r="75" spans="1:8" x14ac:dyDescent="0.25">
      <c r="A75" s="101" t="s">
        <v>168</v>
      </c>
      <c r="B75" s="103">
        <f>SUM(B69:B74)</f>
        <v>100</v>
      </c>
      <c r="C75" s="103">
        <f>'BP ev+JSC'!C50</f>
        <v>92.42953030303029</v>
      </c>
      <c r="D75" s="103">
        <f>'BP ev+JSC'!D50</f>
        <v>82.557346666666646</v>
      </c>
      <c r="E75" s="103">
        <f>'BP ev+JSC'!E50</f>
        <v>102.79498723636362</v>
      </c>
      <c r="F75" s="103">
        <f>'BP ev+JSC'!F50</f>
        <v>127.09658707199999</v>
      </c>
      <c r="G75" s="103">
        <f>'BP ev+JSC'!G50</f>
        <v>195.39797139980357</v>
      </c>
      <c r="H75" s="103">
        <f>'BP ev+JSC'!H50</f>
        <v>319.13602947120859</v>
      </c>
    </row>
    <row r="76" spans="1:8" x14ac:dyDescent="0.25">
      <c r="B76" s="85"/>
      <c r="C76" s="85"/>
      <c r="D76" s="85"/>
      <c r="E76" s="85"/>
      <c r="F76" s="85"/>
      <c r="G76" s="85"/>
      <c r="H76" s="85"/>
    </row>
    <row r="77" spans="1:8" x14ac:dyDescent="0.25">
      <c r="A77" s="12" t="s">
        <v>169</v>
      </c>
      <c r="B77" s="83">
        <v>7</v>
      </c>
      <c r="C77" s="83">
        <v>5.6</v>
      </c>
      <c r="D77" s="83">
        <v>4.4799999999999995</v>
      </c>
      <c r="E77" s="83">
        <v>3.5839999999999996</v>
      </c>
      <c r="F77" s="83">
        <v>2.8671999999999995</v>
      </c>
      <c r="G77" s="83">
        <v>2.2937599999999998</v>
      </c>
      <c r="H77" s="83">
        <v>1.8350079999999998</v>
      </c>
    </row>
    <row r="78" spans="1:8" x14ac:dyDescent="0.25">
      <c r="A78" s="12" t="s">
        <v>171</v>
      </c>
      <c r="B78" s="83"/>
      <c r="C78" s="83">
        <f>'BP ev+JSC'!C53</f>
        <v>50</v>
      </c>
      <c r="D78" s="83">
        <f>'BP ev+JSC'!D53</f>
        <v>40</v>
      </c>
      <c r="E78" s="83">
        <f>'BP ev+JSC'!E53</f>
        <v>32</v>
      </c>
      <c r="F78" s="83">
        <f>'BP ev+JSC'!F53</f>
        <v>25.6</v>
      </c>
      <c r="G78" s="83">
        <f>'BP ev+JSC'!G53</f>
        <v>20.48</v>
      </c>
      <c r="H78" s="83">
        <f>'BP ev+JSC'!H53</f>
        <v>16.384</v>
      </c>
    </row>
    <row r="79" spans="1:8" x14ac:dyDescent="0.25">
      <c r="A79" s="12" t="s">
        <v>170</v>
      </c>
      <c r="B79" s="83">
        <v>8</v>
      </c>
      <c r="C79" s="83">
        <v>8</v>
      </c>
      <c r="D79" s="83">
        <v>8</v>
      </c>
      <c r="E79" s="83">
        <v>8</v>
      </c>
      <c r="F79" s="83">
        <v>8</v>
      </c>
      <c r="G79" s="83">
        <v>8</v>
      </c>
      <c r="H79" s="83">
        <v>8</v>
      </c>
    </row>
    <row r="80" spans="1:8" x14ac:dyDescent="0.25">
      <c r="A80" s="12" t="s">
        <v>172</v>
      </c>
      <c r="B80" s="83"/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</row>
    <row r="81" spans="1:10" x14ac:dyDescent="0.25">
      <c r="A81" s="12" t="s">
        <v>173</v>
      </c>
      <c r="B81" s="83"/>
      <c r="C81" s="83">
        <f>C91</f>
        <v>3.2543312577833121</v>
      </c>
      <c r="D81" s="83">
        <f t="shared" ref="D81:H81" si="2">D91</f>
        <v>3.8874440846824405</v>
      </c>
      <c r="E81" s="83">
        <f t="shared" si="2"/>
        <v>4.6445164632627645</v>
      </c>
      <c r="F81" s="83">
        <f t="shared" si="2"/>
        <v>5.5499408518057276</v>
      </c>
      <c r="G81" s="83">
        <f t="shared" si="2"/>
        <v>6.6329282824408455</v>
      </c>
      <c r="H81" s="83">
        <f t="shared" si="2"/>
        <v>7.9284630882440821</v>
      </c>
    </row>
    <row r="82" spans="1:10" x14ac:dyDescent="0.25">
      <c r="A82" s="12" t="s">
        <v>174</v>
      </c>
      <c r="B82" s="83"/>
      <c r="C82" s="83"/>
      <c r="D82" s="83"/>
      <c r="E82" s="83"/>
      <c r="F82" s="83"/>
      <c r="G82" s="83"/>
      <c r="H82" s="83"/>
    </row>
    <row r="83" spans="1:10" x14ac:dyDescent="0.25">
      <c r="A83" s="12" t="s">
        <v>160</v>
      </c>
      <c r="B83" s="83">
        <f>B63</f>
        <v>85</v>
      </c>
      <c r="C83" s="83">
        <f t="shared" ref="C83:H83" si="3">C63</f>
        <v>25.575199045246983</v>
      </c>
      <c r="D83" s="83">
        <f t="shared" si="3"/>
        <v>26.189902581984207</v>
      </c>
      <c r="E83" s="83">
        <f t="shared" si="3"/>
        <v>54.56647077310086</v>
      </c>
      <c r="F83" s="83">
        <f t="shared" si="3"/>
        <v>85.079446220194257</v>
      </c>
      <c r="G83" s="83">
        <f t="shared" si="3"/>
        <v>157.99128311736271</v>
      </c>
      <c r="H83" s="83">
        <f t="shared" si="3"/>
        <v>284.98855838296453</v>
      </c>
    </row>
    <row r="84" spans="1:10" x14ac:dyDescent="0.25">
      <c r="A84" s="101" t="s">
        <v>227</v>
      </c>
      <c r="B84" s="103">
        <f>SUM(B77:B83)</f>
        <v>100</v>
      </c>
      <c r="C84" s="103">
        <f t="shared" ref="C84:H84" si="4">SUM(C77:C83)</f>
        <v>92.429530303030305</v>
      </c>
      <c r="D84" s="103">
        <f t="shared" si="4"/>
        <v>82.557346666666646</v>
      </c>
      <c r="E84" s="103">
        <f t="shared" si="4"/>
        <v>102.79498723636362</v>
      </c>
      <c r="F84" s="103">
        <f t="shared" si="4"/>
        <v>127.09658707199999</v>
      </c>
      <c r="G84" s="103">
        <f t="shared" si="4"/>
        <v>195.39797139980357</v>
      </c>
      <c r="H84" s="103">
        <f t="shared" si="4"/>
        <v>319.13602947120859</v>
      </c>
    </row>
    <row r="85" spans="1:10" x14ac:dyDescent="0.25">
      <c r="A85" s="79" t="s">
        <v>178</v>
      </c>
      <c r="B85" s="86">
        <f>B75-B84</f>
        <v>0</v>
      </c>
      <c r="C85" s="86">
        <f t="shared" ref="C85:H85" si="5">C75-C84</f>
        <v>0</v>
      </c>
      <c r="D85" s="86">
        <f t="shared" si="5"/>
        <v>0</v>
      </c>
      <c r="E85" s="86">
        <f t="shared" si="5"/>
        <v>0</v>
      </c>
      <c r="F85" s="86">
        <f t="shared" si="5"/>
        <v>0</v>
      </c>
      <c r="G85" s="86">
        <f t="shared" si="5"/>
        <v>0</v>
      </c>
      <c r="H85" s="86">
        <f t="shared" si="5"/>
        <v>0</v>
      </c>
    </row>
    <row r="86" spans="1:10" x14ac:dyDescent="0.25">
      <c r="A86" s="91"/>
      <c r="B86" s="92"/>
      <c r="C86" s="92"/>
      <c r="D86" s="92"/>
      <c r="E86" s="92"/>
      <c r="F86" s="92"/>
      <c r="G86" s="92"/>
      <c r="H86" s="92"/>
    </row>
    <row r="87" spans="1:10" x14ac:dyDescent="0.25">
      <c r="A87" s="91"/>
      <c r="B87" s="92"/>
      <c r="C87" s="92"/>
      <c r="D87" s="92"/>
      <c r="E87" s="92"/>
      <c r="F87" s="92"/>
      <c r="G87" s="92"/>
      <c r="H87" s="92"/>
    </row>
    <row r="88" spans="1:10" x14ac:dyDescent="0.25">
      <c r="A88" s="107" t="s">
        <v>98</v>
      </c>
    </row>
    <row r="89" spans="1:10" x14ac:dyDescent="0.25">
      <c r="A89" s="104" t="s">
        <v>98</v>
      </c>
      <c r="B89" s="3"/>
      <c r="C89" s="111">
        <v>2015</v>
      </c>
      <c r="D89" s="111">
        <v>2016</v>
      </c>
      <c r="E89" s="111">
        <v>2017</v>
      </c>
      <c r="F89" s="111">
        <v>2018</v>
      </c>
      <c r="G89" s="111">
        <v>2019</v>
      </c>
      <c r="H89" s="111">
        <v>2020</v>
      </c>
    </row>
    <row r="90" spans="1:10" x14ac:dyDescent="0.25">
      <c r="A90" s="12" t="s">
        <v>172</v>
      </c>
      <c r="B90" s="3"/>
      <c r="C90" s="83"/>
      <c r="D90" s="83"/>
      <c r="E90" s="83"/>
      <c r="F90" s="83"/>
      <c r="G90" s="83"/>
      <c r="H90" s="83"/>
    </row>
    <row r="91" spans="1:10" x14ac:dyDescent="0.25">
      <c r="A91" s="12" t="s">
        <v>173</v>
      </c>
      <c r="B91" s="3"/>
      <c r="C91" s="83">
        <f>'BP ev+JSC'!C64</f>
        <v>3.2543312577833121</v>
      </c>
      <c r="D91" s="83">
        <f>'BP ev+JSC'!D64</f>
        <v>3.8874440846824405</v>
      </c>
      <c r="E91" s="83">
        <f>'BP ev+JSC'!E64</f>
        <v>4.6445164632627645</v>
      </c>
      <c r="F91" s="83">
        <f>'BP ev+JSC'!F64</f>
        <v>5.5499408518057276</v>
      </c>
      <c r="G91" s="83">
        <f>'BP ev+JSC'!G64</f>
        <v>6.6329282824408455</v>
      </c>
      <c r="H91" s="83">
        <f>'BP ev+JSC'!H64</f>
        <v>7.9284630882440821</v>
      </c>
      <c r="J91" t="s">
        <v>243</v>
      </c>
    </row>
    <row r="92" spans="1:10" x14ac:dyDescent="0.25">
      <c r="A92" s="12" t="s">
        <v>181</v>
      </c>
      <c r="B92" s="3"/>
      <c r="C92" s="83"/>
      <c r="D92" s="83"/>
      <c r="E92" s="83"/>
      <c r="F92" s="83"/>
      <c r="G92" s="83"/>
      <c r="H92" s="83"/>
    </row>
    <row r="93" spans="1:10" x14ac:dyDescent="0.25">
      <c r="A93" s="12" t="s">
        <v>166</v>
      </c>
      <c r="B93" s="3"/>
      <c r="C93" s="83">
        <v>7.666666666666667</v>
      </c>
      <c r="D93" s="83">
        <v>10.416666666666666</v>
      </c>
      <c r="E93" s="83">
        <v>10.625</v>
      </c>
      <c r="F93" s="83">
        <v>12.920000000000002</v>
      </c>
      <c r="G93" s="83">
        <v>13.178400000000002</v>
      </c>
      <c r="H93" s="83">
        <v>13.441968000000001</v>
      </c>
    </row>
    <row r="94" spans="1:10" x14ac:dyDescent="0.25">
      <c r="A94" s="12" t="s">
        <v>98</v>
      </c>
      <c r="B94" s="3"/>
      <c r="C94" s="83">
        <v>-4.4121710253217108</v>
      </c>
      <c r="D94" s="83">
        <v>-6.6112171025321711</v>
      </c>
      <c r="E94" s="83">
        <v>-6.1610687422166874</v>
      </c>
      <c r="F94" s="83">
        <v>-7.8333367372353706</v>
      </c>
      <c r="G94" s="83">
        <v>-7.2329116737235388</v>
      </c>
      <c r="H94" s="83">
        <v>-6.5356931331257808</v>
      </c>
    </row>
    <row r="95" spans="1:10" x14ac:dyDescent="0.25">
      <c r="A95" s="12" t="s">
        <v>182</v>
      </c>
      <c r="B95" s="3"/>
      <c r="C95" s="83">
        <v>4.4121710253217108</v>
      </c>
      <c r="D95" s="83">
        <v>2.1990460772104603</v>
      </c>
      <c r="E95" s="83">
        <v>-0.45014836031548366</v>
      </c>
      <c r="F95" s="83">
        <v>1.6722679950186832</v>
      </c>
      <c r="G95" s="83">
        <v>-0.60042506351183178</v>
      </c>
      <c r="H95" s="83">
        <v>-0.69721854059775801</v>
      </c>
    </row>
    <row r="96" spans="1:10" x14ac:dyDescent="0.25">
      <c r="A96" s="79" t="s">
        <v>228</v>
      </c>
      <c r="B96" s="3"/>
      <c r="C96" s="84"/>
      <c r="D96" s="84"/>
      <c r="E96" s="84"/>
      <c r="F96" s="84"/>
      <c r="G96" s="84"/>
      <c r="H96" s="84"/>
    </row>
    <row r="97" spans="1:8" x14ac:dyDescent="0.25">
      <c r="A97" s="79" t="s">
        <v>229</v>
      </c>
      <c r="B97" s="3"/>
      <c r="C97" s="84">
        <v>5</v>
      </c>
      <c r="D97" s="84">
        <v>5</v>
      </c>
      <c r="E97" s="84">
        <v>5</v>
      </c>
      <c r="F97" s="84">
        <v>5</v>
      </c>
      <c r="G97" s="84">
        <v>5</v>
      </c>
      <c r="H97" s="84">
        <v>5</v>
      </c>
    </row>
    <row r="98" spans="1:8" x14ac:dyDescent="0.25">
      <c r="A98" s="79" t="s">
        <v>230</v>
      </c>
      <c r="B98" s="3"/>
      <c r="C98" s="84"/>
      <c r="D98" s="84"/>
      <c r="E98" s="84"/>
      <c r="F98" s="84"/>
      <c r="G98" s="84"/>
      <c r="H98" s="84"/>
    </row>
    <row r="99" spans="1:8" x14ac:dyDescent="0.25">
      <c r="A99" s="78" t="s">
        <v>186</v>
      </c>
      <c r="B99" s="3"/>
      <c r="C99" s="4">
        <v>0.2</v>
      </c>
      <c r="D99" s="4">
        <v>0.2</v>
      </c>
      <c r="E99" s="4">
        <v>0.2</v>
      </c>
      <c r="F99" s="4">
        <v>0.2</v>
      </c>
      <c r="G99" s="4">
        <v>0.2</v>
      </c>
      <c r="H99" s="4">
        <v>0.2</v>
      </c>
    </row>
  </sheetData>
  <mergeCells count="3">
    <mergeCell ref="J54:K54"/>
    <mergeCell ref="J59:K59"/>
    <mergeCell ref="A23:A2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7" workbookViewId="0">
      <selection activeCell="D14" sqref="D14"/>
    </sheetView>
  </sheetViews>
  <sheetFormatPr baseColWidth="10" defaultRowHeight="15" x14ac:dyDescent="0.25"/>
  <cols>
    <col min="1" max="1" width="28.85546875" customWidth="1"/>
    <col min="2" max="2" width="16.7109375" customWidth="1"/>
    <col min="3" max="3" width="17.7109375" customWidth="1"/>
    <col min="4" max="4" width="15.85546875" customWidth="1"/>
    <col min="5" max="5" width="4.85546875" customWidth="1"/>
    <col min="6" max="6" width="13.42578125" customWidth="1"/>
    <col min="9" max="9" width="10" customWidth="1"/>
  </cols>
  <sheetData>
    <row r="1" spans="1:10" ht="18.75" x14ac:dyDescent="0.3">
      <c r="B1" s="121" t="s">
        <v>260</v>
      </c>
    </row>
    <row r="2" spans="1:10" x14ac:dyDescent="0.25">
      <c r="A2" s="118" t="s">
        <v>263</v>
      </c>
      <c r="B2" s="118" t="s">
        <v>261</v>
      </c>
      <c r="C2" s="118" t="s">
        <v>181</v>
      </c>
      <c r="D2" s="118" t="s">
        <v>262</v>
      </c>
      <c r="F2" t="s">
        <v>292</v>
      </c>
    </row>
    <row r="3" spans="1:10" x14ac:dyDescent="0.25">
      <c r="A3" s="3" t="s">
        <v>264</v>
      </c>
      <c r="B3" s="115">
        <v>42048</v>
      </c>
      <c r="C3" s="3" t="s">
        <v>265</v>
      </c>
      <c r="D3" s="3">
        <v>912</v>
      </c>
      <c r="F3" s="118" t="s">
        <v>275</v>
      </c>
      <c r="G3" s="117"/>
      <c r="H3" s="117"/>
      <c r="I3" s="117"/>
    </row>
    <row r="4" spans="1:10" x14ac:dyDescent="0.25">
      <c r="A4" s="3" t="s">
        <v>266</v>
      </c>
      <c r="B4" s="115">
        <v>41991</v>
      </c>
      <c r="C4" s="3" t="s">
        <v>265</v>
      </c>
      <c r="D4" s="3">
        <v>456</v>
      </c>
      <c r="F4" s="3" t="s">
        <v>276</v>
      </c>
      <c r="G4" s="115">
        <v>42060</v>
      </c>
      <c r="H4" s="3" t="s">
        <v>268</v>
      </c>
      <c r="I4" s="3">
        <v>2640</v>
      </c>
    </row>
    <row r="5" spans="1:10" x14ac:dyDescent="0.25">
      <c r="A5" s="3" t="s">
        <v>267</v>
      </c>
      <c r="B5" s="115">
        <v>42027</v>
      </c>
      <c r="C5" s="3" t="s">
        <v>265</v>
      </c>
      <c r="D5" s="3">
        <v>912</v>
      </c>
      <c r="F5" s="3" t="s">
        <v>291</v>
      </c>
      <c r="G5" s="115">
        <v>42056</v>
      </c>
      <c r="H5" s="3" t="s">
        <v>269</v>
      </c>
      <c r="I5" s="116">
        <v>39820.800000000003</v>
      </c>
    </row>
    <row r="6" spans="1:10" x14ac:dyDescent="0.25">
      <c r="A6" s="3"/>
      <c r="B6" s="115">
        <v>42075</v>
      </c>
      <c r="C6" s="3" t="s">
        <v>265</v>
      </c>
      <c r="D6" s="3">
        <v>936</v>
      </c>
      <c r="F6" s="78" t="s">
        <v>293</v>
      </c>
      <c r="G6" s="3"/>
      <c r="H6" s="3"/>
      <c r="I6" s="3">
        <v>29714.23</v>
      </c>
    </row>
    <row r="7" spans="1:10" x14ac:dyDescent="0.25">
      <c r="A7" s="3" t="s">
        <v>274</v>
      </c>
      <c r="B7" s="115">
        <v>42056</v>
      </c>
      <c r="C7" s="3" t="s">
        <v>269</v>
      </c>
      <c r="D7" s="3">
        <v>15928</v>
      </c>
      <c r="F7" s="80" t="s">
        <v>303</v>
      </c>
      <c r="G7" s="81"/>
      <c r="H7" s="81"/>
      <c r="I7" s="81"/>
    </row>
    <row r="8" spans="1:10" x14ac:dyDescent="0.25">
      <c r="A8" s="3" t="s">
        <v>271</v>
      </c>
      <c r="B8" s="115">
        <v>41983</v>
      </c>
      <c r="C8" s="3" t="s">
        <v>270</v>
      </c>
      <c r="D8" s="3">
        <v>7732</v>
      </c>
    </row>
    <row r="9" spans="1:10" x14ac:dyDescent="0.25">
      <c r="A9" s="3" t="s">
        <v>272</v>
      </c>
      <c r="B9" s="115">
        <v>41985</v>
      </c>
      <c r="C9" s="3" t="s">
        <v>273</v>
      </c>
      <c r="D9" s="3">
        <v>8055</v>
      </c>
    </row>
    <row r="10" spans="1:10" x14ac:dyDescent="0.25">
      <c r="A10" s="12" t="s">
        <v>286</v>
      </c>
      <c r="B10" s="3"/>
      <c r="C10" s="3"/>
      <c r="D10" s="12">
        <f>SUM(D3:D9)</f>
        <v>34931</v>
      </c>
      <c r="F10" s="81"/>
      <c r="G10" s="81"/>
      <c r="H10" s="81"/>
      <c r="I10" s="81"/>
    </row>
    <row r="11" spans="1:10" x14ac:dyDescent="0.25">
      <c r="A11" s="124"/>
      <c r="B11" s="125"/>
      <c r="C11" s="125"/>
      <c r="D11" s="125"/>
      <c r="F11" s="91" t="s">
        <v>309</v>
      </c>
      <c r="G11" s="80"/>
      <c r="H11" s="80"/>
      <c r="I11" s="80"/>
    </row>
    <row r="12" spans="1:10" x14ac:dyDescent="0.25">
      <c r="A12" s="118" t="s">
        <v>306</v>
      </c>
      <c r="B12" s="117"/>
      <c r="C12" s="117"/>
      <c r="D12" s="117"/>
      <c r="F12" s="131" t="s">
        <v>308</v>
      </c>
      <c r="G12" s="131" t="s">
        <v>283</v>
      </c>
      <c r="H12" s="131" t="s">
        <v>284</v>
      </c>
      <c r="I12" s="81"/>
    </row>
    <row r="13" spans="1:10" x14ac:dyDescent="0.25">
      <c r="A13" s="3" t="s">
        <v>285</v>
      </c>
      <c r="B13" s="3"/>
      <c r="C13" s="3" t="s">
        <v>273</v>
      </c>
      <c r="D13" s="12">
        <v>12727</v>
      </c>
      <c r="F13" s="3" t="s">
        <v>278</v>
      </c>
      <c r="G13" s="3">
        <v>38664</v>
      </c>
      <c r="H13" s="3">
        <f>G13/4</f>
        <v>9666</v>
      </c>
      <c r="I13" s="123"/>
      <c r="J13">
        <v>9666</v>
      </c>
    </row>
    <row r="14" spans="1:10" x14ac:dyDescent="0.25">
      <c r="A14" s="3" t="s">
        <v>294</v>
      </c>
      <c r="B14" s="3"/>
      <c r="C14" s="3"/>
      <c r="D14" s="3">
        <v>14875.64</v>
      </c>
      <c r="F14" s="3" t="s">
        <v>279</v>
      </c>
      <c r="G14" s="3">
        <v>5200</v>
      </c>
      <c r="H14" s="3">
        <f t="shared" ref="H14:H17" si="0">G14/4</f>
        <v>1300</v>
      </c>
      <c r="I14" s="81"/>
      <c r="J14">
        <v>1300</v>
      </c>
    </row>
    <row r="15" spans="1:10" x14ac:dyDescent="0.25">
      <c r="A15" s="3" t="s">
        <v>295</v>
      </c>
      <c r="B15" s="94" t="s">
        <v>320</v>
      </c>
      <c r="C15" s="3"/>
      <c r="D15" s="3">
        <v>7966</v>
      </c>
      <c r="F15" s="3" t="s">
        <v>280</v>
      </c>
      <c r="G15" s="3">
        <v>5223</v>
      </c>
      <c r="H15" s="3">
        <f t="shared" si="0"/>
        <v>1305.75</v>
      </c>
      <c r="I15" s="81"/>
      <c r="J15">
        <v>1305</v>
      </c>
    </row>
    <row r="16" spans="1:10" x14ac:dyDescent="0.25">
      <c r="A16" s="3" t="s">
        <v>296</v>
      </c>
      <c r="B16" s="3"/>
      <c r="C16" s="3"/>
      <c r="D16" s="3">
        <v>1774</v>
      </c>
      <c r="F16" s="3" t="s">
        <v>281</v>
      </c>
      <c r="G16" s="3">
        <v>1824</v>
      </c>
      <c r="H16" s="3">
        <f t="shared" si="0"/>
        <v>456</v>
      </c>
      <c r="I16" s="81"/>
      <c r="J16">
        <v>456</v>
      </c>
    </row>
    <row r="17" spans="1:9" x14ac:dyDescent="0.25">
      <c r="A17" s="3" t="s">
        <v>297</v>
      </c>
      <c r="B17" s="3"/>
      <c r="C17" s="3"/>
      <c r="D17" s="3">
        <v>1495</v>
      </c>
      <c r="F17" s="12" t="s">
        <v>287</v>
      </c>
      <c r="G17" s="12">
        <f>SUM(G13:G16)</f>
        <v>50911</v>
      </c>
      <c r="H17" s="12">
        <f t="shared" si="0"/>
        <v>12727.75</v>
      </c>
      <c r="I17" s="81"/>
    </row>
    <row r="18" spans="1:9" x14ac:dyDescent="0.25">
      <c r="A18" s="3" t="s">
        <v>298</v>
      </c>
      <c r="B18" s="3"/>
      <c r="C18" s="3"/>
      <c r="D18" s="116">
        <v>1605.22</v>
      </c>
      <c r="F18" s="80"/>
      <c r="G18" s="81"/>
      <c r="H18" s="81"/>
      <c r="I18" s="81"/>
    </row>
    <row r="19" spans="1:9" x14ac:dyDescent="0.25">
      <c r="A19" s="3" t="s">
        <v>304</v>
      </c>
      <c r="B19" s="3"/>
      <c r="C19" s="3"/>
      <c r="D19" s="126">
        <f>SUM(D14:D18)</f>
        <v>27715.86</v>
      </c>
      <c r="F19" s="80"/>
      <c r="G19" s="81"/>
      <c r="H19" s="81"/>
      <c r="I19" s="81"/>
    </row>
    <row r="20" spans="1:9" x14ac:dyDescent="0.25">
      <c r="A20" s="3" t="s">
        <v>277</v>
      </c>
      <c r="B20" s="3"/>
      <c r="C20" s="3" t="s">
        <v>302</v>
      </c>
      <c r="D20" s="3">
        <v>5000</v>
      </c>
    </row>
    <row r="21" spans="1:9" x14ac:dyDescent="0.25">
      <c r="A21" s="3" t="s">
        <v>92</v>
      </c>
      <c r="B21" s="3"/>
      <c r="C21" s="3"/>
      <c r="D21" s="3">
        <v>5000</v>
      </c>
    </row>
    <row r="22" spans="1:9" x14ac:dyDescent="0.25">
      <c r="A22" s="3" t="s">
        <v>299</v>
      </c>
      <c r="B22" s="3" t="s">
        <v>318</v>
      </c>
      <c r="C22" s="3" t="s">
        <v>269</v>
      </c>
      <c r="D22" s="3">
        <v>11946</v>
      </c>
    </row>
    <row r="23" spans="1:9" x14ac:dyDescent="0.25">
      <c r="A23" s="3" t="s">
        <v>300</v>
      </c>
      <c r="B23" s="3"/>
      <c r="C23" s="3" t="s">
        <v>269</v>
      </c>
      <c r="D23" s="3">
        <v>11946</v>
      </c>
    </row>
    <row r="24" spans="1:9" x14ac:dyDescent="0.25">
      <c r="A24" s="3" t="s">
        <v>301</v>
      </c>
      <c r="B24" s="3" t="s">
        <v>319</v>
      </c>
      <c r="C24" s="3" t="s">
        <v>265</v>
      </c>
      <c r="D24" s="3">
        <v>1092</v>
      </c>
    </row>
    <row r="25" spans="1:9" x14ac:dyDescent="0.25">
      <c r="A25" s="3" t="s">
        <v>301</v>
      </c>
      <c r="B25" s="3"/>
      <c r="C25" s="3" t="s">
        <v>265</v>
      </c>
      <c r="D25" s="3">
        <v>1092</v>
      </c>
    </row>
    <row r="26" spans="1:9" x14ac:dyDescent="0.25">
      <c r="A26" s="3"/>
      <c r="B26" s="3"/>
      <c r="C26" s="3"/>
      <c r="D26" s="12">
        <f>SUM(D20:D25)</f>
        <v>36076</v>
      </c>
    </row>
    <row r="27" spans="1:9" x14ac:dyDescent="0.25">
      <c r="A27" s="12" t="s">
        <v>287</v>
      </c>
      <c r="B27" s="12"/>
      <c r="C27" s="12"/>
      <c r="D27" s="126">
        <f>D13+D19+D26</f>
        <v>76518.86</v>
      </c>
    </row>
    <row r="28" spans="1:9" x14ac:dyDescent="0.25">
      <c r="A28" s="129"/>
      <c r="B28" s="129"/>
      <c r="C28" s="129"/>
      <c r="D28" s="129"/>
    </row>
    <row r="29" spans="1:9" x14ac:dyDescent="0.25">
      <c r="A29" s="118" t="s">
        <v>305</v>
      </c>
      <c r="B29" s="118"/>
      <c r="C29" s="118"/>
      <c r="D29" s="127">
        <f>D10+D27</f>
        <v>111449.86</v>
      </c>
    </row>
    <row r="30" spans="1:9" x14ac:dyDescent="0.25">
      <c r="A30" s="119" t="s">
        <v>290</v>
      </c>
      <c r="B30" s="119"/>
      <c r="C30" s="119"/>
      <c r="D30" s="120">
        <v>35000</v>
      </c>
    </row>
    <row r="31" spans="1:9" x14ac:dyDescent="0.25">
      <c r="A31" s="119" t="s">
        <v>288</v>
      </c>
      <c r="B31" s="119"/>
      <c r="C31" s="119"/>
      <c r="D31" s="120">
        <v>35000</v>
      </c>
    </row>
    <row r="32" spans="1:9" x14ac:dyDescent="0.25">
      <c r="A32" s="119" t="s">
        <v>289</v>
      </c>
      <c r="B32" s="119"/>
      <c r="C32" s="119"/>
      <c r="D32" s="120">
        <v>50000</v>
      </c>
    </row>
    <row r="33" spans="1:4" x14ac:dyDescent="0.25">
      <c r="A33" s="12" t="s">
        <v>307</v>
      </c>
      <c r="B33" s="119"/>
      <c r="C33" s="119"/>
      <c r="D33" s="128">
        <f>SUM(D30:D32)</f>
        <v>120000</v>
      </c>
    </row>
    <row r="34" spans="1:4" x14ac:dyDescent="0.25">
      <c r="A34" s="130"/>
      <c r="B34" s="130"/>
      <c r="C34" s="130"/>
      <c r="D34" s="122"/>
    </row>
    <row r="35" spans="1:4" x14ac:dyDescent="0.25">
      <c r="A35" s="118" t="s">
        <v>282</v>
      </c>
      <c r="B35" s="118" t="s">
        <v>283</v>
      </c>
      <c r="C35" s="118" t="s">
        <v>284</v>
      </c>
    </row>
    <row r="36" spans="1:4" x14ac:dyDescent="0.25">
      <c r="A36" s="3" t="s">
        <v>278</v>
      </c>
      <c r="B36" s="3">
        <v>38664</v>
      </c>
      <c r="C36" s="3">
        <f>B36/4</f>
        <v>9666</v>
      </c>
    </row>
    <row r="37" spans="1:4" x14ac:dyDescent="0.25">
      <c r="A37" s="3" t="s">
        <v>279</v>
      </c>
      <c r="B37" s="3">
        <v>5200</v>
      </c>
      <c r="C37" s="3">
        <f t="shared" ref="C37:C40" si="1">B37/4</f>
        <v>1300</v>
      </c>
    </row>
    <row r="38" spans="1:4" x14ac:dyDescent="0.25">
      <c r="A38" s="3" t="s">
        <v>280</v>
      </c>
      <c r="B38" s="3">
        <v>5223</v>
      </c>
      <c r="C38" s="3">
        <f t="shared" si="1"/>
        <v>1305.75</v>
      </c>
    </row>
    <row r="39" spans="1:4" x14ac:dyDescent="0.25">
      <c r="A39" s="3" t="s">
        <v>281</v>
      </c>
      <c r="B39" s="3">
        <v>1824</v>
      </c>
      <c r="C39" s="3">
        <f t="shared" si="1"/>
        <v>456</v>
      </c>
    </row>
    <row r="40" spans="1:4" x14ac:dyDescent="0.25">
      <c r="A40" s="12" t="s">
        <v>287</v>
      </c>
      <c r="B40" s="12">
        <f>SUM(B36:B39)</f>
        <v>50911</v>
      </c>
      <c r="C40" s="12">
        <f t="shared" si="1"/>
        <v>12727.75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C24" sqref="C24"/>
    </sheetView>
  </sheetViews>
  <sheetFormatPr baseColWidth="10" defaultRowHeight="15" x14ac:dyDescent="0.25"/>
  <cols>
    <col min="1" max="1" width="16.7109375" customWidth="1"/>
    <col min="2" max="2" width="11.42578125" customWidth="1"/>
    <col min="3" max="3" width="9.5703125" customWidth="1"/>
    <col min="4" max="4" width="11.140625" customWidth="1"/>
    <col min="5" max="5" width="10.7109375" customWidth="1"/>
    <col min="6" max="6" width="9.85546875" customWidth="1"/>
    <col min="7" max="7" width="10.28515625" customWidth="1"/>
    <col min="9" max="9" width="10.7109375" customWidth="1"/>
    <col min="10" max="10" width="9.140625" customWidth="1"/>
    <col min="11" max="11" width="8.85546875" customWidth="1"/>
    <col min="12" max="12" width="9.85546875" customWidth="1"/>
  </cols>
  <sheetData>
    <row r="1" spans="1:12" ht="15.75" thickBot="1" x14ac:dyDescent="0.3">
      <c r="A1" s="10" t="s">
        <v>310</v>
      </c>
    </row>
    <row r="2" spans="1:12" x14ac:dyDescent="0.25">
      <c r="A2" s="143" t="s">
        <v>181</v>
      </c>
      <c r="B2" s="132" t="s">
        <v>353</v>
      </c>
      <c r="C2" s="132" t="s">
        <v>311</v>
      </c>
      <c r="D2" s="132" t="s">
        <v>312</v>
      </c>
      <c r="E2" s="132" t="s">
        <v>313</v>
      </c>
      <c r="F2" s="132"/>
      <c r="G2" s="132"/>
      <c r="H2" s="147" t="s">
        <v>317</v>
      </c>
      <c r="I2" s="150" t="s">
        <v>275</v>
      </c>
      <c r="J2" s="136"/>
      <c r="K2" s="144"/>
      <c r="L2" s="145"/>
    </row>
    <row r="3" spans="1:12" ht="15.75" thickBot="1" x14ac:dyDescent="0.3">
      <c r="A3" s="146"/>
      <c r="B3" s="134" t="s">
        <v>342</v>
      </c>
      <c r="C3" s="134" t="s">
        <v>333</v>
      </c>
      <c r="D3" s="134"/>
      <c r="E3" s="134" t="s">
        <v>314</v>
      </c>
      <c r="F3" s="134" t="s">
        <v>315</v>
      </c>
      <c r="G3" s="134" t="s">
        <v>316</v>
      </c>
      <c r="H3" s="148" t="s">
        <v>323</v>
      </c>
      <c r="I3" s="151" t="s">
        <v>342</v>
      </c>
      <c r="J3" s="138" t="s">
        <v>314</v>
      </c>
      <c r="K3" s="139" t="s">
        <v>315</v>
      </c>
      <c r="L3" s="142" t="s">
        <v>316</v>
      </c>
    </row>
    <row r="4" spans="1:12" x14ac:dyDescent="0.25">
      <c r="A4" s="168" t="s">
        <v>265</v>
      </c>
      <c r="B4" s="169" t="s">
        <v>329</v>
      </c>
      <c r="C4" s="169">
        <v>912</v>
      </c>
      <c r="D4" s="170">
        <v>42048</v>
      </c>
      <c r="E4" s="169"/>
      <c r="F4" s="169"/>
      <c r="G4" s="171">
        <f>C4</f>
        <v>912</v>
      </c>
      <c r="H4" s="172"/>
      <c r="I4" s="161"/>
      <c r="J4" s="162"/>
      <c r="K4" s="137"/>
      <c r="L4" s="141"/>
    </row>
    <row r="5" spans="1:12" x14ac:dyDescent="0.25">
      <c r="A5" s="173" t="s">
        <v>265</v>
      </c>
      <c r="B5" s="3" t="s">
        <v>330</v>
      </c>
      <c r="C5" s="3">
        <v>456</v>
      </c>
      <c r="D5" s="115">
        <v>41991</v>
      </c>
      <c r="E5" s="3"/>
      <c r="F5" s="3"/>
      <c r="G5" s="2">
        <f t="shared" ref="G5:G9" si="0">C5</f>
        <v>456</v>
      </c>
      <c r="H5" s="149"/>
      <c r="I5" s="152"/>
      <c r="J5" s="135"/>
      <c r="K5" s="140"/>
      <c r="L5" s="153"/>
    </row>
    <row r="6" spans="1:12" x14ac:dyDescent="0.25">
      <c r="A6" s="173" t="s">
        <v>265</v>
      </c>
      <c r="B6" s="3" t="s">
        <v>331</v>
      </c>
      <c r="C6" s="3">
        <v>912</v>
      </c>
      <c r="D6" s="115">
        <v>42027</v>
      </c>
      <c r="E6" s="3"/>
      <c r="F6" s="3"/>
      <c r="G6" s="2">
        <f t="shared" si="0"/>
        <v>912</v>
      </c>
      <c r="H6" s="149"/>
      <c r="I6" s="152"/>
      <c r="J6" s="135"/>
      <c r="K6" s="140"/>
      <c r="L6" s="153"/>
    </row>
    <row r="7" spans="1:12" x14ac:dyDescent="0.25">
      <c r="A7" s="173" t="s">
        <v>265</v>
      </c>
      <c r="B7" s="3" t="s">
        <v>324</v>
      </c>
      <c r="C7" s="3">
        <v>936</v>
      </c>
      <c r="D7" s="115">
        <v>42075</v>
      </c>
      <c r="E7" s="3"/>
      <c r="F7" s="3"/>
      <c r="G7" s="2">
        <f t="shared" si="0"/>
        <v>936</v>
      </c>
      <c r="H7" s="149"/>
      <c r="I7" s="152"/>
      <c r="J7" s="135"/>
      <c r="K7" s="140"/>
      <c r="L7" s="153"/>
    </row>
    <row r="8" spans="1:12" x14ac:dyDescent="0.25">
      <c r="A8" s="173" t="s">
        <v>265</v>
      </c>
      <c r="B8" s="3" t="s">
        <v>332</v>
      </c>
      <c r="C8" s="27">
        <v>1092</v>
      </c>
      <c r="D8" s="115"/>
      <c r="E8" s="3"/>
      <c r="F8" s="3"/>
      <c r="G8" s="2">
        <f t="shared" si="0"/>
        <v>1092</v>
      </c>
      <c r="H8" s="149"/>
      <c r="I8" s="152"/>
      <c r="J8" s="135"/>
      <c r="K8" s="140"/>
      <c r="L8" s="153"/>
    </row>
    <row r="9" spans="1:12" x14ac:dyDescent="0.25">
      <c r="A9" s="173" t="s">
        <v>265</v>
      </c>
      <c r="B9" s="3" t="s">
        <v>328</v>
      </c>
      <c r="C9" s="27">
        <v>1092</v>
      </c>
      <c r="D9" s="115"/>
      <c r="E9" s="3"/>
      <c r="F9" s="3"/>
      <c r="G9" s="2">
        <f t="shared" si="0"/>
        <v>1092</v>
      </c>
      <c r="H9" s="149"/>
      <c r="I9" s="152"/>
      <c r="J9" s="135"/>
      <c r="K9" s="140"/>
      <c r="L9" s="153"/>
    </row>
    <row r="10" spans="1:12" x14ac:dyDescent="0.25">
      <c r="A10" s="173" t="s">
        <v>269</v>
      </c>
      <c r="B10" s="3" t="s">
        <v>326</v>
      </c>
      <c r="C10" s="3">
        <v>15928</v>
      </c>
      <c r="D10" s="115">
        <v>42073</v>
      </c>
      <c r="E10" s="3"/>
      <c r="F10" s="3"/>
      <c r="G10" s="2"/>
      <c r="H10" s="149">
        <f>C10</f>
        <v>15928</v>
      </c>
      <c r="I10" s="152"/>
      <c r="J10" s="135"/>
      <c r="K10" s="140"/>
      <c r="L10" s="153"/>
    </row>
    <row r="11" spans="1:12" x14ac:dyDescent="0.25">
      <c r="A11" s="173" t="s">
        <v>270</v>
      </c>
      <c r="B11" s="3" t="s">
        <v>271</v>
      </c>
      <c r="C11" s="3">
        <v>7732</v>
      </c>
      <c r="D11" s="115">
        <v>41983</v>
      </c>
      <c r="E11" s="3"/>
      <c r="F11" s="3"/>
      <c r="G11" s="2">
        <f>C11</f>
        <v>7732</v>
      </c>
      <c r="H11" s="149"/>
      <c r="I11" s="152"/>
      <c r="J11" s="135"/>
      <c r="K11" s="140"/>
      <c r="L11" s="153"/>
    </row>
    <row r="12" spans="1:12" x14ac:dyDescent="0.25">
      <c r="A12" s="173" t="s">
        <v>273</v>
      </c>
      <c r="B12" s="3" t="s">
        <v>272</v>
      </c>
      <c r="C12" s="3">
        <v>8055</v>
      </c>
      <c r="D12" s="115">
        <v>41985</v>
      </c>
      <c r="E12" s="3"/>
      <c r="F12" s="3"/>
      <c r="G12" s="2">
        <f>C12</f>
        <v>8055</v>
      </c>
      <c r="H12" s="149"/>
      <c r="I12" s="152"/>
      <c r="J12" s="135"/>
      <c r="K12" s="140"/>
      <c r="L12" s="153"/>
    </row>
    <row r="13" spans="1:12" x14ac:dyDescent="0.25">
      <c r="A13" s="173" t="s">
        <v>269</v>
      </c>
      <c r="B13" s="3" t="s">
        <v>327</v>
      </c>
      <c r="C13" s="3">
        <v>11946</v>
      </c>
      <c r="D13" s="3"/>
      <c r="E13" s="3"/>
      <c r="F13" s="3"/>
      <c r="G13" s="2"/>
      <c r="H13" s="149">
        <f>C13</f>
        <v>11946</v>
      </c>
      <c r="I13" s="152"/>
      <c r="J13" s="135"/>
      <c r="K13" s="140"/>
      <c r="L13" s="153"/>
    </row>
    <row r="14" spans="1:12" x14ac:dyDescent="0.25">
      <c r="A14" s="163" t="s">
        <v>321</v>
      </c>
      <c r="B14" s="3"/>
      <c r="C14" s="3"/>
      <c r="D14" s="3"/>
      <c r="E14" s="3"/>
      <c r="F14" s="3"/>
      <c r="G14" s="2"/>
      <c r="H14" s="149"/>
      <c r="I14" s="152"/>
      <c r="J14" s="135"/>
      <c r="K14" s="140"/>
      <c r="L14" s="153"/>
    </row>
    <row r="15" spans="1:12" x14ac:dyDescent="0.25">
      <c r="A15" s="173" t="s">
        <v>278</v>
      </c>
      <c r="B15" s="3" t="s">
        <v>337</v>
      </c>
      <c r="C15" s="3">
        <v>9666</v>
      </c>
      <c r="D15" s="3"/>
      <c r="E15" s="3"/>
      <c r="F15" s="3"/>
      <c r="G15" s="2">
        <f>C15</f>
        <v>9666</v>
      </c>
      <c r="H15" s="149"/>
      <c r="I15" s="152"/>
      <c r="J15" s="135"/>
      <c r="K15" s="140"/>
      <c r="L15" s="153"/>
    </row>
    <row r="16" spans="1:12" x14ac:dyDescent="0.25">
      <c r="A16" s="173" t="s">
        <v>279</v>
      </c>
      <c r="B16" s="3" t="s">
        <v>336</v>
      </c>
      <c r="C16" s="3">
        <v>1300</v>
      </c>
      <c r="D16" s="3"/>
      <c r="E16" s="3"/>
      <c r="F16" s="3"/>
      <c r="G16" s="2">
        <f t="shared" ref="G16:G18" si="1">C16</f>
        <v>1300</v>
      </c>
      <c r="H16" s="149"/>
      <c r="I16" s="152"/>
      <c r="J16" s="135"/>
      <c r="K16" s="140"/>
      <c r="L16" s="153"/>
    </row>
    <row r="17" spans="1:12" x14ac:dyDescent="0.25">
      <c r="A17" s="173" t="s">
        <v>280</v>
      </c>
      <c r="B17" s="3" t="s">
        <v>335</v>
      </c>
      <c r="C17" s="3">
        <v>1305</v>
      </c>
      <c r="D17" s="3"/>
      <c r="E17" s="3"/>
      <c r="F17" s="3"/>
      <c r="G17" s="2">
        <f t="shared" si="1"/>
        <v>1305</v>
      </c>
      <c r="H17" s="149"/>
      <c r="I17" s="152"/>
      <c r="J17" s="135"/>
      <c r="K17" s="140"/>
      <c r="L17" s="153"/>
    </row>
    <row r="18" spans="1:12" x14ac:dyDescent="0.25">
      <c r="A18" s="173" t="s">
        <v>281</v>
      </c>
      <c r="B18" s="3" t="s">
        <v>338</v>
      </c>
      <c r="C18" s="3">
        <v>456</v>
      </c>
      <c r="D18" s="3"/>
      <c r="E18" s="3"/>
      <c r="F18" s="3"/>
      <c r="G18" s="2">
        <f t="shared" si="1"/>
        <v>456</v>
      </c>
      <c r="H18" s="149"/>
      <c r="I18" s="152"/>
      <c r="J18" s="135"/>
      <c r="K18" s="140"/>
      <c r="L18" s="153"/>
    </row>
    <row r="19" spans="1:12" x14ac:dyDescent="0.25">
      <c r="A19" s="173" t="s">
        <v>344</v>
      </c>
      <c r="B19" s="3"/>
      <c r="C19" s="3">
        <v>4200</v>
      </c>
      <c r="D19" s="115">
        <v>42067</v>
      </c>
      <c r="E19" s="3">
        <v>4200</v>
      </c>
      <c r="F19" s="3"/>
      <c r="G19" s="2"/>
      <c r="H19" s="149"/>
      <c r="I19" s="152"/>
      <c r="J19" s="135"/>
      <c r="K19" s="140"/>
      <c r="L19" s="153"/>
    </row>
    <row r="20" spans="1:12" x14ac:dyDescent="0.25">
      <c r="A20" s="173" t="s">
        <v>345</v>
      </c>
      <c r="B20" s="3"/>
      <c r="C20" s="3"/>
      <c r="D20" s="115"/>
      <c r="E20" s="3"/>
      <c r="F20" s="3"/>
      <c r="G20" s="2"/>
      <c r="H20" s="149"/>
      <c r="I20" s="152"/>
      <c r="J20" s="135">
        <v>3766</v>
      </c>
      <c r="K20" s="140"/>
      <c r="L20" s="153"/>
    </row>
    <row r="21" spans="1:12" x14ac:dyDescent="0.25">
      <c r="A21" s="173" t="s">
        <v>322</v>
      </c>
      <c r="B21" s="3"/>
      <c r="C21" s="3"/>
      <c r="D21" s="3"/>
      <c r="E21" s="3"/>
      <c r="F21" s="3"/>
      <c r="G21" s="2"/>
      <c r="H21" s="149"/>
      <c r="I21" s="152"/>
      <c r="J21" s="135"/>
      <c r="K21" s="140"/>
      <c r="L21" s="153"/>
    </row>
    <row r="22" spans="1:12" x14ac:dyDescent="0.25">
      <c r="A22" s="173" t="s">
        <v>269</v>
      </c>
      <c r="B22" s="3" t="s">
        <v>325</v>
      </c>
      <c r="C22" s="3">
        <v>11946</v>
      </c>
      <c r="D22" s="3"/>
      <c r="E22" s="3"/>
      <c r="F22" s="3"/>
      <c r="G22" s="2"/>
      <c r="H22" s="149">
        <v>11946</v>
      </c>
      <c r="I22" s="152"/>
      <c r="J22" s="135"/>
      <c r="K22" s="140"/>
      <c r="L22" s="153"/>
    </row>
    <row r="23" spans="1:12" x14ac:dyDescent="0.25">
      <c r="A23" s="173" t="s">
        <v>268</v>
      </c>
      <c r="B23" s="3" t="s">
        <v>350</v>
      </c>
      <c r="C23" s="3">
        <v>960</v>
      </c>
      <c r="D23" s="3"/>
      <c r="E23" s="3"/>
      <c r="F23" s="3"/>
      <c r="G23" s="2">
        <f>C23</f>
        <v>960</v>
      </c>
      <c r="H23" s="149"/>
      <c r="I23" s="152"/>
      <c r="J23" s="135"/>
      <c r="K23" s="140"/>
      <c r="L23" s="153">
        <v>2640</v>
      </c>
    </row>
    <row r="24" spans="1:12" x14ac:dyDescent="0.25">
      <c r="A24" s="173" t="s">
        <v>339</v>
      </c>
      <c r="B24" s="3"/>
      <c r="C24" s="3">
        <v>262</v>
      </c>
      <c r="D24" s="3"/>
      <c r="E24" s="3">
        <f>C24</f>
        <v>262</v>
      </c>
      <c r="F24" s="3"/>
      <c r="G24" s="2"/>
      <c r="H24" s="149"/>
      <c r="I24" s="152"/>
      <c r="J24" s="135"/>
      <c r="K24" s="140"/>
      <c r="L24" s="153"/>
    </row>
    <row r="25" spans="1:12" x14ac:dyDescent="0.25">
      <c r="A25" s="173" t="s">
        <v>340</v>
      </c>
      <c r="B25" s="3"/>
      <c r="C25" s="3">
        <v>430</v>
      </c>
      <c r="D25" s="3"/>
      <c r="E25" s="3">
        <f>C25</f>
        <v>430</v>
      </c>
      <c r="F25" s="3"/>
      <c r="G25" s="2"/>
      <c r="H25" s="149"/>
      <c r="I25" s="152"/>
      <c r="J25" s="135"/>
      <c r="K25" s="140"/>
      <c r="L25" s="153"/>
    </row>
    <row r="26" spans="1:12" x14ac:dyDescent="0.25">
      <c r="A26" s="173" t="s">
        <v>341</v>
      </c>
      <c r="B26" s="3"/>
      <c r="C26" s="3">
        <v>484</v>
      </c>
      <c r="D26" s="3"/>
      <c r="E26" s="3">
        <f>C26</f>
        <v>484</v>
      </c>
      <c r="F26" s="3"/>
      <c r="G26" s="2"/>
      <c r="H26" s="149"/>
      <c r="I26" s="152" t="s">
        <v>343</v>
      </c>
      <c r="J26" s="135"/>
      <c r="K26" s="140"/>
      <c r="L26" s="153"/>
    </row>
    <row r="27" spans="1:12" x14ac:dyDescent="0.25">
      <c r="A27" s="173" t="s">
        <v>346</v>
      </c>
      <c r="B27" s="3"/>
      <c r="C27" s="3">
        <v>860</v>
      </c>
      <c r="D27" s="3"/>
      <c r="E27" s="3">
        <f>C27</f>
        <v>860</v>
      </c>
      <c r="F27" s="3"/>
      <c r="G27" s="2"/>
      <c r="H27" s="149"/>
      <c r="I27" s="152" t="s">
        <v>355</v>
      </c>
      <c r="J27" s="135"/>
      <c r="K27" s="140"/>
      <c r="L27" s="153"/>
    </row>
    <row r="28" spans="1:12" x14ac:dyDescent="0.25">
      <c r="A28" s="173" t="s">
        <v>347</v>
      </c>
      <c r="B28" s="3"/>
      <c r="C28" s="3"/>
      <c r="D28" s="3"/>
      <c r="E28" s="3"/>
      <c r="F28" s="3"/>
      <c r="G28" s="2"/>
      <c r="H28" s="149"/>
      <c r="I28" s="152"/>
      <c r="J28" s="135">
        <v>658</v>
      </c>
      <c r="K28" s="140"/>
      <c r="L28" s="153"/>
    </row>
    <row r="29" spans="1:12" x14ac:dyDescent="0.25">
      <c r="A29" s="173" t="s">
        <v>348</v>
      </c>
      <c r="B29" s="3"/>
      <c r="C29" s="3"/>
      <c r="D29" s="3"/>
      <c r="E29" s="3"/>
      <c r="F29" s="3"/>
      <c r="G29" s="2"/>
      <c r="H29" s="149"/>
      <c r="I29" s="152"/>
      <c r="J29" s="135">
        <v>135</v>
      </c>
      <c r="K29" s="140"/>
      <c r="L29" s="153"/>
    </row>
    <row r="30" spans="1:12" x14ac:dyDescent="0.25">
      <c r="A30" s="173" t="s">
        <v>349</v>
      </c>
      <c r="B30" s="3"/>
      <c r="C30" s="3"/>
      <c r="D30" s="3"/>
      <c r="E30" s="3"/>
      <c r="F30" s="3"/>
      <c r="G30" s="2"/>
      <c r="H30" s="149"/>
      <c r="I30" s="152"/>
      <c r="J30" s="135">
        <v>1495</v>
      </c>
      <c r="K30" s="140"/>
      <c r="L30" s="153"/>
    </row>
    <row r="31" spans="1:12" x14ac:dyDescent="0.25">
      <c r="A31" s="173" t="s">
        <v>351</v>
      </c>
      <c r="B31" s="3"/>
      <c r="C31" s="3"/>
      <c r="D31" s="3"/>
      <c r="E31" s="3"/>
      <c r="F31" s="3"/>
      <c r="G31" s="2"/>
      <c r="H31" s="149"/>
      <c r="I31" s="152"/>
      <c r="J31" s="135">
        <v>2123</v>
      </c>
      <c r="K31" s="140"/>
      <c r="L31" s="153"/>
    </row>
    <row r="32" spans="1:12" x14ac:dyDescent="0.25">
      <c r="A32" s="173" t="s">
        <v>352</v>
      </c>
      <c r="B32" s="3"/>
      <c r="C32" s="3"/>
      <c r="D32" s="3"/>
      <c r="E32" s="3"/>
      <c r="F32" s="3"/>
      <c r="G32" s="2"/>
      <c r="H32" s="149"/>
      <c r="I32" s="152"/>
      <c r="J32" s="135"/>
      <c r="K32" s="140">
        <v>6000</v>
      </c>
      <c r="L32" s="153"/>
    </row>
    <row r="33" spans="1:12" x14ac:dyDescent="0.25">
      <c r="A33" s="174" t="s">
        <v>287</v>
      </c>
      <c r="B33" s="154"/>
      <c r="C33" s="154">
        <f>SUM(C4:C27)</f>
        <v>80930</v>
      </c>
      <c r="D33" s="154"/>
      <c r="E33" s="154">
        <f>SUM(E4:E27)</f>
        <v>6236</v>
      </c>
      <c r="F33" s="154"/>
      <c r="G33" s="155">
        <f>SUM(G4:G27)</f>
        <v>34874</v>
      </c>
      <c r="H33" s="156">
        <f>SUM(H4:H27)</f>
        <v>39820</v>
      </c>
      <c r="I33" s="157"/>
      <c r="J33" s="158">
        <f>SUM(J4:J32)</f>
        <v>8177</v>
      </c>
      <c r="K33" s="159">
        <f>SUM(K4:K32)</f>
        <v>6000</v>
      </c>
      <c r="L33" s="160">
        <f>SUM(L4:L32)</f>
        <v>2640</v>
      </c>
    </row>
    <row r="34" spans="1:12" x14ac:dyDescent="0.25">
      <c r="A34" s="163" t="s">
        <v>334</v>
      </c>
      <c r="B34" s="12"/>
      <c r="C34" s="12">
        <f>E33+G33+H33</f>
        <v>80930</v>
      </c>
      <c r="D34" s="12"/>
      <c r="E34" s="12"/>
      <c r="F34" s="12"/>
      <c r="G34" s="12"/>
      <c r="H34" s="16"/>
      <c r="I34" s="163"/>
      <c r="J34" s="12"/>
      <c r="K34" s="12"/>
      <c r="L34" s="164"/>
    </row>
    <row r="35" spans="1:12" ht="15.75" thickBot="1" x14ac:dyDescent="0.3">
      <c r="A35" s="175" t="s">
        <v>354</v>
      </c>
      <c r="B35" s="133">
        <f>J33+K33+L33</f>
        <v>16817</v>
      </c>
      <c r="C35" s="166"/>
      <c r="D35" s="166"/>
      <c r="E35" s="166"/>
      <c r="F35" s="166"/>
      <c r="G35" s="166"/>
      <c r="H35" s="176"/>
      <c r="I35" s="165"/>
      <c r="J35" s="166"/>
      <c r="K35" s="166"/>
      <c r="L35" s="167"/>
    </row>
  </sheetData>
  <pageMargins left="0.25" right="0.25" top="0.75" bottom="0.75" header="0.3" footer="0.3"/>
  <pageSetup paperSize="9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I24" sqref="I24"/>
    </sheetView>
  </sheetViews>
  <sheetFormatPr baseColWidth="10" defaultRowHeight="15" x14ac:dyDescent="0.25"/>
  <cols>
    <col min="1" max="1" width="18.7109375" customWidth="1"/>
    <col min="2" max="2" width="11.42578125" customWidth="1"/>
    <col min="3" max="3" width="9.5703125" customWidth="1"/>
    <col min="4" max="4" width="11.140625" customWidth="1"/>
    <col min="5" max="5" width="10.7109375" customWidth="1"/>
    <col min="6" max="6" width="9.85546875" customWidth="1"/>
  </cols>
  <sheetData>
    <row r="1" spans="1:6" ht="15.75" thickBot="1" x14ac:dyDescent="0.3">
      <c r="A1" s="190" t="s">
        <v>363</v>
      </c>
      <c r="B1" s="191"/>
      <c r="C1" s="191"/>
      <c r="D1" s="191"/>
      <c r="E1" s="191"/>
      <c r="F1" s="191"/>
    </row>
    <row r="2" spans="1:6" x14ac:dyDescent="0.25">
      <c r="A2" s="143" t="s">
        <v>181</v>
      </c>
      <c r="B2" s="132" t="s">
        <v>353</v>
      </c>
      <c r="C2" s="132" t="s">
        <v>311</v>
      </c>
      <c r="D2" s="132" t="s">
        <v>312</v>
      </c>
      <c r="E2" s="132" t="s">
        <v>275</v>
      </c>
      <c r="F2" s="192"/>
    </row>
    <row r="3" spans="1:6" ht="15.75" thickBot="1" x14ac:dyDescent="0.3">
      <c r="A3" s="146"/>
      <c r="B3" s="134" t="s">
        <v>342</v>
      </c>
      <c r="C3" s="134" t="s">
        <v>333</v>
      </c>
      <c r="D3" s="134"/>
      <c r="E3" s="134" t="s">
        <v>314</v>
      </c>
      <c r="F3" s="193" t="s">
        <v>315</v>
      </c>
    </row>
    <row r="4" spans="1:6" x14ac:dyDescent="0.25">
      <c r="A4" s="168" t="s">
        <v>265</v>
      </c>
      <c r="B4" s="169" t="s">
        <v>329</v>
      </c>
      <c r="C4" s="169">
        <v>912</v>
      </c>
      <c r="D4" s="170">
        <v>42048</v>
      </c>
      <c r="E4" s="169"/>
      <c r="F4" s="195"/>
    </row>
    <row r="5" spans="1:6" x14ac:dyDescent="0.25">
      <c r="A5" s="173" t="s">
        <v>265</v>
      </c>
      <c r="B5" s="3" t="s">
        <v>330</v>
      </c>
      <c r="C5" s="3">
        <v>456</v>
      </c>
      <c r="D5" s="115">
        <v>41991</v>
      </c>
      <c r="E5" s="3"/>
      <c r="F5" s="196"/>
    </row>
    <row r="6" spans="1:6" x14ac:dyDescent="0.25">
      <c r="A6" s="173" t="s">
        <v>265</v>
      </c>
      <c r="B6" s="3" t="s">
        <v>331</v>
      </c>
      <c r="C6" s="3">
        <v>912</v>
      </c>
      <c r="D6" s="115">
        <v>42027</v>
      </c>
      <c r="E6" s="3"/>
      <c r="F6" s="196"/>
    </row>
    <row r="7" spans="1:6" x14ac:dyDescent="0.25">
      <c r="A7" s="173" t="s">
        <v>265</v>
      </c>
      <c r="B7" s="3" t="s">
        <v>324</v>
      </c>
      <c r="C7" s="3">
        <v>936</v>
      </c>
      <c r="D7" s="115">
        <v>42075</v>
      </c>
      <c r="E7" s="3"/>
      <c r="F7" s="196"/>
    </row>
    <row r="8" spans="1:6" x14ac:dyDescent="0.25">
      <c r="A8" s="173" t="s">
        <v>265</v>
      </c>
      <c r="B8" s="3" t="s">
        <v>332</v>
      </c>
      <c r="C8" s="27">
        <v>1092</v>
      </c>
      <c r="D8" s="115"/>
      <c r="E8" s="3"/>
      <c r="F8" s="196"/>
    </row>
    <row r="9" spans="1:6" x14ac:dyDescent="0.25">
      <c r="A9" s="173" t="s">
        <v>265</v>
      </c>
      <c r="B9" s="3" t="s">
        <v>328</v>
      </c>
      <c r="C9" s="27">
        <v>1092</v>
      </c>
      <c r="D9" s="115"/>
      <c r="E9" s="3"/>
      <c r="F9" s="196"/>
    </row>
    <row r="10" spans="1:6" x14ac:dyDescent="0.25">
      <c r="A10" s="173" t="s">
        <v>269</v>
      </c>
      <c r="B10" s="3" t="s">
        <v>326</v>
      </c>
      <c r="C10" s="3">
        <v>15928</v>
      </c>
      <c r="D10" s="115">
        <v>42073</v>
      </c>
      <c r="E10" s="3"/>
      <c r="F10" s="196"/>
    </row>
    <row r="11" spans="1:6" x14ac:dyDescent="0.25">
      <c r="A11" s="173" t="s">
        <v>269</v>
      </c>
      <c r="B11" s="3" t="s">
        <v>327</v>
      </c>
      <c r="C11" s="3">
        <v>11946</v>
      </c>
      <c r="D11" s="3"/>
      <c r="E11" s="3"/>
      <c r="F11" s="196"/>
    </row>
    <row r="12" spans="1:6" x14ac:dyDescent="0.25">
      <c r="A12" s="173" t="s">
        <v>269</v>
      </c>
      <c r="B12" s="3" t="s">
        <v>325</v>
      </c>
      <c r="C12" s="3">
        <v>13962.8</v>
      </c>
      <c r="D12" s="3"/>
      <c r="E12" s="3"/>
      <c r="F12" s="196"/>
    </row>
    <row r="13" spans="1:6" x14ac:dyDescent="0.25">
      <c r="A13" s="173" t="s">
        <v>358</v>
      </c>
      <c r="B13" s="3"/>
      <c r="C13" s="3">
        <v>7966</v>
      </c>
      <c r="D13" s="115">
        <v>42067</v>
      </c>
      <c r="E13" s="3"/>
      <c r="F13" s="196"/>
    </row>
    <row r="14" spans="1:6" x14ac:dyDescent="0.25">
      <c r="A14" s="173" t="s">
        <v>349</v>
      </c>
      <c r="B14" s="3"/>
      <c r="C14" s="3">
        <v>1159.03</v>
      </c>
      <c r="D14" s="3"/>
      <c r="E14" s="3"/>
      <c r="F14" s="196"/>
    </row>
    <row r="15" spans="1:6" x14ac:dyDescent="0.25">
      <c r="A15" s="173" t="s">
        <v>339</v>
      </c>
      <c r="B15" s="3"/>
      <c r="C15" s="3">
        <v>262</v>
      </c>
      <c r="D15" s="3"/>
      <c r="E15" s="3"/>
      <c r="F15" s="196"/>
    </row>
    <row r="16" spans="1:6" x14ac:dyDescent="0.25">
      <c r="A16" s="173" t="s">
        <v>340</v>
      </c>
      <c r="B16" s="3"/>
      <c r="C16" s="3">
        <v>430</v>
      </c>
      <c r="D16" s="3"/>
      <c r="E16" s="3"/>
      <c r="F16" s="196"/>
    </row>
    <row r="17" spans="1:6" x14ac:dyDescent="0.25">
      <c r="A17" s="173" t="s">
        <v>341</v>
      </c>
      <c r="B17" s="3"/>
      <c r="C17" s="3">
        <v>484</v>
      </c>
      <c r="D17" s="3"/>
      <c r="E17" s="3"/>
      <c r="F17" s="196"/>
    </row>
    <row r="18" spans="1:6" x14ac:dyDescent="0.25">
      <c r="A18" s="173" t="s">
        <v>346</v>
      </c>
      <c r="B18" s="3"/>
      <c r="C18" s="3">
        <v>860</v>
      </c>
      <c r="D18" s="3"/>
      <c r="E18" s="3"/>
      <c r="F18" s="196"/>
    </row>
    <row r="19" spans="1:6" x14ac:dyDescent="0.25">
      <c r="A19" s="173" t="s">
        <v>347</v>
      </c>
      <c r="B19" s="3"/>
      <c r="C19" s="3">
        <v>658</v>
      </c>
      <c r="D19" s="3"/>
      <c r="E19" s="3"/>
      <c r="F19" s="196"/>
    </row>
    <row r="20" spans="1:6" x14ac:dyDescent="0.25">
      <c r="A20" s="173" t="s">
        <v>348</v>
      </c>
      <c r="B20" s="3"/>
      <c r="C20" s="3"/>
      <c r="D20" s="3"/>
      <c r="E20" s="3">
        <v>135</v>
      </c>
      <c r="F20" s="196"/>
    </row>
    <row r="21" spans="1:6" x14ac:dyDescent="0.25">
      <c r="A21" s="173" t="s">
        <v>357</v>
      </c>
      <c r="B21" s="3"/>
      <c r="C21" s="3"/>
      <c r="D21" s="3"/>
      <c r="E21" s="3">
        <v>2300</v>
      </c>
      <c r="F21" s="196"/>
    </row>
    <row r="22" spans="1:6" x14ac:dyDescent="0.25">
      <c r="A22" s="173" t="s">
        <v>352</v>
      </c>
      <c r="B22" s="3"/>
      <c r="C22" s="3">
        <v>3768.96</v>
      </c>
      <c r="D22" s="3"/>
      <c r="E22" s="3">
        <v>600</v>
      </c>
      <c r="F22" s="196"/>
    </row>
    <row r="23" spans="1:6" x14ac:dyDescent="0.25">
      <c r="A23" s="188" t="s">
        <v>356</v>
      </c>
      <c r="B23" s="189"/>
      <c r="C23" s="189">
        <v>3360</v>
      </c>
      <c r="D23" s="189"/>
      <c r="E23" s="189"/>
      <c r="F23" s="197"/>
    </row>
    <row r="24" spans="1:6" x14ac:dyDescent="0.25">
      <c r="A24" s="188" t="s">
        <v>359</v>
      </c>
      <c r="B24" s="189"/>
      <c r="C24" s="189"/>
      <c r="D24" s="189"/>
      <c r="E24" s="189">
        <v>3851</v>
      </c>
      <c r="F24" s="197"/>
    </row>
    <row r="25" spans="1:6" x14ac:dyDescent="0.25">
      <c r="A25" s="174" t="s">
        <v>287</v>
      </c>
      <c r="B25" s="154"/>
      <c r="C25" s="154">
        <f>SUM(C4:C24)</f>
        <v>66184.790000000008</v>
      </c>
      <c r="D25" s="154"/>
      <c r="E25" s="154">
        <f>SUM(E4:E24)</f>
        <v>6886</v>
      </c>
      <c r="F25" s="198"/>
    </row>
    <row r="26" spans="1:6" ht="15.75" thickBot="1" x14ac:dyDescent="0.3">
      <c r="A26" s="194">
        <v>75000</v>
      </c>
      <c r="B26" s="133"/>
      <c r="C26" s="133">
        <f>C25+E25</f>
        <v>73070.790000000008</v>
      </c>
      <c r="D26" s="133"/>
      <c r="E26" s="133"/>
      <c r="F26" s="199"/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4"/>
    </sheetView>
  </sheetViews>
  <sheetFormatPr baseColWidth="10" defaultRowHeight="15" x14ac:dyDescent="0.25"/>
  <cols>
    <col min="1" max="1" width="34.85546875" customWidth="1"/>
    <col min="2" max="2" width="11.42578125" customWidth="1"/>
    <col min="3" max="3" width="9.5703125" customWidth="1"/>
    <col min="4" max="4" width="11.140625" customWidth="1"/>
    <col min="5" max="5" width="9.85546875" customWidth="1"/>
  </cols>
  <sheetData>
    <row r="1" spans="1:5" ht="15.75" thickBot="1" x14ac:dyDescent="0.3">
      <c r="A1" s="10" t="s">
        <v>364</v>
      </c>
    </row>
    <row r="2" spans="1:5" x14ac:dyDescent="0.25">
      <c r="A2" s="143" t="s">
        <v>181</v>
      </c>
      <c r="B2" s="132" t="s">
        <v>353</v>
      </c>
      <c r="C2" s="132" t="s">
        <v>311</v>
      </c>
      <c r="D2" s="132" t="s">
        <v>312</v>
      </c>
      <c r="E2" s="145" t="s">
        <v>275</v>
      </c>
    </row>
    <row r="3" spans="1:5" ht="15.75" thickBot="1" x14ac:dyDescent="0.3">
      <c r="A3" s="146"/>
      <c r="B3" s="134" t="s">
        <v>342</v>
      </c>
      <c r="C3" s="134" t="s">
        <v>333</v>
      </c>
      <c r="D3" s="134"/>
      <c r="E3" s="142" t="s">
        <v>316</v>
      </c>
    </row>
    <row r="4" spans="1:5" x14ac:dyDescent="0.25">
      <c r="A4" s="173" t="s">
        <v>360</v>
      </c>
      <c r="B4" s="3" t="s">
        <v>271</v>
      </c>
      <c r="C4" s="3">
        <v>7732</v>
      </c>
      <c r="D4" s="115">
        <v>41983</v>
      </c>
      <c r="E4" s="153"/>
    </row>
    <row r="5" spans="1:5" x14ac:dyDescent="0.25">
      <c r="A5" s="173" t="s">
        <v>361</v>
      </c>
      <c r="B5" s="3" t="s">
        <v>272</v>
      </c>
      <c r="C5" s="3">
        <v>8055</v>
      </c>
      <c r="D5" s="115">
        <v>41985</v>
      </c>
      <c r="E5" s="153"/>
    </row>
    <row r="6" spans="1:5" x14ac:dyDescent="0.25">
      <c r="A6" s="163" t="s">
        <v>321</v>
      </c>
      <c r="B6" s="3"/>
      <c r="C6" s="3"/>
      <c r="D6" s="3"/>
      <c r="E6" s="153"/>
    </row>
    <row r="7" spans="1:5" x14ac:dyDescent="0.25">
      <c r="A7" s="173" t="s">
        <v>362</v>
      </c>
      <c r="B7" s="3" t="s">
        <v>337</v>
      </c>
      <c r="C7" s="3">
        <v>9666</v>
      </c>
      <c r="D7" s="3"/>
      <c r="E7" s="153"/>
    </row>
    <row r="8" spans="1:5" x14ac:dyDescent="0.25">
      <c r="A8" s="173" t="s">
        <v>279</v>
      </c>
      <c r="B8" s="3" t="s">
        <v>336</v>
      </c>
      <c r="C8" s="3">
        <v>1300</v>
      </c>
      <c r="D8" s="3"/>
      <c r="E8" s="153"/>
    </row>
    <row r="9" spans="1:5" x14ac:dyDescent="0.25">
      <c r="A9" s="173" t="s">
        <v>280</v>
      </c>
      <c r="B9" s="3" t="s">
        <v>335</v>
      </c>
      <c r="C9" s="3">
        <v>1305</v>
      </c>
      <c r="D9" s="3"/>
      <c r="E9" s="153"/>
    </row>
    <row r="10" spans="1:5" x14ac:dyDescent="0.25">
      <c r="A10" s="173" t="s">
        <v>281</v>
      </c>
      <c r="B10" s="3" t="s">
        <v>338</v>
      </c>
      <c r="C10" s="3">
        <v>456</v>
      </c>
      <c r="D10" s="3"/>
      <c r="E10" s="153"/>
    </row>
    <row r="11" spans="1:5" x14ac:dyDescent="0.25">
      <c r="A11" s="173" t="s">
        <v>268</v>
      </c>
      <c r="B11" s="3" t="s">
        <v>350</v>
      </c>
      <c r="C11" s="3">
        <v>960</v>
      </c>
      <c r="D11" s="3"/>
      <c r="E11" s="153">
        <v>2640</v>
      </c>
    </row>
    <row r="12" spans="1:5" x14ac:dyDescent="0.25">
      <c r="A12" s="174" t="s">
        <v>287</v>
      </c>
      <c r="B12" s="154"/>
      <c r="C12" s="154">
        <f>SUM(C4:C11)</f>
        <v>29474</v>
      </c>
      <c r="D12" s="154"/>
      <c r="E12" s="160">
        <f>SUM(E4:E11)</f>
        <v>2640</v>
      </c>
    </row>
    <row r="13" spans="1:5" x14ac:dyDescent="0.25">
      <c r="A13" s="163" t="s">
        <v>354</v>
      </c>
      <c r="B13" s="12"/>
      <c r="C13" s="12">
        <f>C12+E12</f>
        <v>32114</v>
      </c>
      <c r="D13" s="12"/>
      <c r="E13" s="164"/>
    </row>
    <row r="14" spans="1:5" ht="15.75" thickBot="1" x14ac:dyDescent="0.3">
      <c r="A14" s="175"/>
      <c r="B14" s="133"/>
      <c r="C14" s="166"/>
      <c r="D14" s="166"/>
      <c r="E14" s="16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BP ev+JSC</vt:lpstr>
      <vt:lpstr>Début BP</vt:lpstr>
      <vt:lpstr>Structure des flux</vt:lpstr>
      <vt:lpstr>DECOUPAGE POUR PREZ</vt:lpstr>
      <vt:lpstr>Frais engagés</vt:lpstr>
      <vt:lpstr>Factures</vt:lpstr>
      <vt:lpstr>Travaux</vt:lpstr>
      <vt:lpstr>Honoraires</vt:lpstr>
      <vt:lpstr>'Début BP'!Zone_d_impression</vt:lpstr>
      <vt:lpstr>Factures!Zone_d_impression</vt:lpstr>
      <vt:lpstr>'Frais engagés'!Zone_d_impression</vt:lpstr>
      <vt:lpstr>Honoraires!Zone_d_impression</vt:lpstr>
      <vt:lpstr>Travaux!Zone_d_impression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cp:lastPrinted>2015-06-09T08:35:35Z</cp:lastPrinted>
  <dcterms:created xsi:type="dcterms:W3CDTF">2015-01-28T10:39:50Z</dcterms:created>
  <dcterms:modified xsi:type="dcterms:W3CDTF">2015-06-09T08:38:46Z</dcterms:modified>
</cp:coreProperties>
</file>