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9720" windowHeight="8880" tabRatio="810" firstSheet="2" activeTab="2"/>
  </bookViews>
  <sheets>
    <sheet name="donnees" sheetId="4" r:id="rId1"/>
    <sheet name="Feuil1" sheetId="1" r:id="rId2"/>
    <sheet name="ventilation charges" sheetId="6" r:id="rId3"/>
    <sheet name="relevés compteurs" sheetId="7" r:id="rId4"/>
    <sheet name="charges annuelles" sheetId="8" r:id="rId5"/>
    <sheet name="Feuil5" sheetId="9" r:id="rId6"/>
    <sheet name="Feuil2" sheetId="10" r:id="rId7"/>
  </sheets>
  <definedNames>
    <definedName name="CHanntot">'charges annuelles'!$C$6</definedName>
    <definedName name="nbmdc">'ventilation charges'!$I$16</definedName>
    <definedName name="nbmdp">'ventilation charges'!$H$16</definedName>
    <definedName name="NBTAB">'ventilation charges'!$M$16</definedName>
    <definedName name="NBTAB2">'ventilation charges'!$S$16</definedName>
    <definedName name="thab">'charges annuelles'!$C$7</definedName>
    <definedName name="_xlnm.Print_Area" localSheetId="2">'ventilation charges'!$S$2:$V$10</definedName>
  </definedNames>
  <calcPr calcId="145621"/>
  <fileRecoveryPr repairLoad="1"/>
</workbook>
</file>

<file path=xl/calcChain.xml><?xml version="1.0" encoding="utf-8"?>
<calcChain xmlns="http://schemas.openxmlformats.org/spreadsheetml/2006/main">
  <c r="C5" i="8" l="1"/>
  <c r="T4" i="6"/>
  <c r="T5" i="6"/>
  <c r="T6" i="6"/>
  <c r="T7" i="6"/>
  <c r="T8" i="6"/>
  <c r="T9" i="6"/>
  <c r="T10" i="6"/>
  <c r="T3" i="6"/>
  <c r="S16" i="6"/>
  <c r="Q2" i="6"/>
  <c r="D5" i="8"/>
  <c r="N18" i="6" l="1"/>
  <c r="E3" i="6" l="1"/>
  <c r="H3" i="6"/>
  <c r="H16" i="6" s="1"/>
  <c r="I3" i="6"/>
  <c r="J3" i="6" s="1"/>
  <c r="H10" i="6"/>
  <c r="I10" i="6"/>
  <c r="E10" i="6"/>
  <c r="A5" i="6"/>
  <c r="A6" i="6"/>
  <c r="A7" i="6"/>
  <c r="A8" i="6"/>
  <c r="A9" i="6"/>
  <c r="A10" i="6"/>
  <c r="A4" i="6"/>
  <c r="I9" i="6"/>
  <c r="H9" i="6"/>
  <c r="E9" i="6"/>
  <c r="H4" i="6"/>
  <c r="H5" i="6"/>
  <c r="H6" i="6"/>
  <c r="H7" i="6"/>
  <c r="H8" i="6"/>
  <c r="I5" i="6"/>
  <c r="I6" i="6"/>
  <c r="I7" i="6"/>
  <c r="I8" i="6"/>
  <c r="I4" i="6"/>
  <c r="I16" i="6" s="1"/>
  <c r="E5" i="6"/>
  <c r="E4" i="6"/>
  <c r="E6" i="6"/>
  <c r="F4" i="6"/>
  <c r="F5" i="6" s="1"/>
  <c r="L3" i="4"/>
  <c r="M7" i="4"/>
  <c r="M6" i="4"/>
  <c r="M5" i="4"/>
  <c r="M3" i="4"/>
  <c r="P3" i="1"/>
  <c r="P4" i="1"/>
  <c r="P5" i="1"/>
  <c r="P6" i="1"/>
  <c r="P7" i="1"/>
  <c r="P2" i="1"/>
  <c r="S3" i="1"/>
  <c r="S4" i="1"/>
  <c r="S5" i="1"/>
  <c r="S6" i="1"/>
  <c r="S7" i="1"/>
  <c r="S2" i="1"/>
  <c r="Q2" i="4"/>
  <c r="K3" i="1"/>
  <c r="N3" i="1"/>
  <c r="O3" i="1"/>
  <c r="R3" i="1"/>
  <c r="K4" i="1"/>
  <c r="N4" i="1"/>
  <c r="O4" i="1"/>
  <c r="R4" i="1"/>
  <c r="K5" i="1"/>
  <c r="N5" i="1"/>
  <c r="O5" i="1"/>
  <c r="R5" i="1"/>
  <c r="K6" i="1"/>
  <c r="N6" i="1"/>
  <c r="O6" i="1"/>
  <c r="R6" i="1"/>
  <c r="K7" i="1"/>
  <c r="N7" i="1"/>
  <c r="O7" i="1"/>
  <c r="R7" i="1"/>
  <c r="O2" i="1"/>
  <c r="R2" i="1"/>
  <c r="N2" i="1"/>
  <c r="M2" i="1"/>
  <c r="K2" i="1"/>
  <c r="L2" i="1"/>
  <c r="J2" i="1"/>
  <c r="I2" i="1"/>
  <c r="H3" i="1"/>
  <c r="H4" i="1"/>
  <c r="H5" i="1"/>
  <c r="H6" i="1"/>
  <c r="H7" i="1"/>
  <c r="H2" i="1"/>
  <c r="E7" i="1"/>
  <c r="F7" i="1"/>
  <c r="G7" i="1"/>
  <c r="E3" i="1"/>
  <c r="F3" i="1"/>
  <c r="G3" i="1"/>
  <c r="E4" i="1"/>
  <c r="F4" i="1"/>
  <c r="G4" i="1"/>
  <c r="E5" i="1"/>
  <c r="F5" i="1"/>
  <c r="G5" i="1"/>
  <c r="E6" i="1"/>
  <c r="F6" i="1"/>
  <c r="G6" i="1"/>
  <c r="F2" i="1"/>
  <c r="G2" i="1"/>
  <c r="E2" i="1"/>
  <c r="B3" i="1"/>
  <c r="B4" i="1"/>
  <c r="B5" i="1"/>
  <c r="B6" i="1"/>
  <c r="B7" i="1"/>
  <c r="B2" i="1"/>
  <c r="A2" i="1"/>
  <c r="A3" i="4"/>
  <c r="A4" i="4" s="1"/>
  <c r="A4" i="1" s="1"/>
  <c r="M7" i="1"/>
  <c r="L3" i="1"/>
  <c r="J3" i="4"/>
  <c r="J4" i="4" s="1"/>
  <c r="J5" i="4" s="1"/>
  <c r="J6" i="4" s="1"/>
  <c r="J7" i="4" s="1"/>
  <c r="J7" i="1" s="1"/>
  <c r="I3" i="4"/>
  <c r="I4" i="4" s="1"/>
  <c r="I5" i="4" s="1"/>
  <c r="I6" i="4" s="1"/>
  <c r="I7" i="4" s="1"/>
  <c r="I7" i="1" s="1"/>
  <c r="T2" i="4"/>
  <c r="T2" i="1" s="1"/>
  <c r="C6" i="8" l="1"/>
  <c r="J4" i="6"/>
  <c r="J5" i="6"/>
  <c r="E8" i="6"/>
  <c r="E7" i="6"/>
  <c r="F6" i="6"/>
  <c r="J6" i="6" s="1"/>
  <c r="A3" i="1"/>
  <c r="I6" i="1"/>
  <c r="I4" i="1"/>
  <c r="J6" i="1"/>
  <c r="J4" i="1"/>
  <c r="I5" i="1"/>
  <c r="I3" i="1"/>
  <c r="J5" i="1"/>
  <c r="J3" i="1"/>
  <c r="Q2" i="1"/>
  <c r="M6" i="1"/>
  <c r="M5" i="1"/>
  <c r="M4" i="1"/>
  <c r="M3" i="1"/>
  <c r="Q3" i="4"/>
  <c r="C2" i="4"/>
  <c r="C2" i="1" s="1"/>
  <c r="D2" i="4"/>
  <c r="D2" i="1" s="1"/>
  <c r="D4" i="4"/>
  <c r="D4" i="1" s="1"/>
  <c r="A5" i="4"/>
  <c r="A5" i="1" s="1"/>
  <c r="C4" i="4"/>
  <c r="C4" i="1" s="1"/>
  <c r="D3" i="4"/>
  <c r="D3" i="1" s="1"/>
  <c r="L4" i="4"/>
  <c r="L4" i="1" s="1"/>
  <c r="C3" i="4"/>
  <c r="C3" i="1" s="1"/>
  <c r="Q3" i="6" l="1"/>
  <c r="K3" i="6"/>
  <c r="M3" i="6" s="1"/>
  <c r="K4" i="6"/>
  <c r="K6" i="6"/>
  <c r="K5" i="6"/>
  <c r="F7" i="6"/>
  <c r="J7" i="6" s="1"/>
  <c r="K7" i="6" s="1"/>
  <c r="T3" i="4"/>
  <c r="T3" i="1" s="1"/>
  <c r="Q3" i="1"/>
  <c r="A6" i="4"/>
  <c r="A6" i="1" s="1"/>
  <c r="C5" i="4"/>
  <c r="C5" i="1" s="1"/>
  <c r="D5" i="4"/>
  <c r="D5" i="1" s="1"/>
  <c r="L5" i="4"/>
  <c r="L5" i="1" s="1"/>
  <c r="Q4" i="4"/>
  <c r="O5" i="6" l="1"/>
  <c r="M5" i="6"/>
  <c r="U5" i="6" s="1"/>
  <c r="O7" i="6"/>
  <c r="M7" i="6"/>
  <c r="U7" i="6" s="1"/>
  <c r="O6" i="6"/>
  <c r="M6" i="6"/>
  <c r="U6" i="6" s="1"/>
  <c r="U3" i="6"/>
  <c r="O4" i="6"/>
  <c r="M4" i="6"/>
  <c r="U4" i="6" s="1"/>
  <c r="L3" i="6"/>
  <c r="O3" i="6"/>
  <c r="L7" i="6"/>
  <c r="L6" i="6"/>
  <c r="L5" i="6"/>
  <c r="L4" i="6"/>
  <c r="F8" i="6"/>
  <c r="F9" i="6" s="1"/>
  <c r="T4" i="4"/>
  <c r="T4" i="1" s="1"/>
  <c r="Q4" i="1"/>
  <c r="Q5" i="4"/>
  <c r="L6" i="4"/>
  <c r="L6" i="1" s="1"/>
  <c r="D6" i="4"/>
  <c r="D6" i="1" s="1"/>
  <c r="A7" i="4"/>
  <c r="A7" i="1" s="1"/>
  <c r="C6" i="4"/>
  <c r="C6" i="1" s="1"/>
  <c r="J9" i="6" l="1"/>
  <c r="K9" i="6" s="1"/>
  <c r="F10" i="6"/>
  <c r="J10" i="6" s="1"/>
  <c r="K10" i="6" s="1"/>
  <c r="L9" i="6"/>
  <c r="J8" i="6"/>
  <c r="T5" i="4"/>
  <c r="T5" i="1" s="1"/>
  <c r="Q5" i="1"/>
  <c r="C7" i="4"/>
  <c r="C7" i="1" s="1"/>
  <c r="D7" i="4"/>
  <c r="D7" i="1" s="1"/>
  <c r="L7" i="4"/>
  <c r="Q7" i="4" s="1"/>
  <c r="Q6" i="4"/>
  <c r="O10" i="6" l="1"/>
  <c r="M10" i="6"/>
  <c r="U10" i="6" s="1"/>
  <c r="O9" i="6"/>
  <c r="M9" i="6"/>
  <c r="U9" i="6" s="1"/>
  <c r="L10" i="6"/>
  <c r="K8" i="6"/>
  <c r="J16" i="6"/>
  <c r="Q4" i="6"/>
  <c r="Q7" i="1"/>
  <c r="L7" i="1"/>
  <c r="T6" i="4"/>
  <c r="T6" i="1" s="1"/>
  <c r="Q6" i="1"/>
  <c r="T7" i="4"/>
  <c r="T7" i="1" s="1"/>
  <c r="O8" i="6" l="1"/>
  <c r="M8" i="6"/>
  <c r="L8" i="6"/>
  <c r="U8" i="6" l="1"/>
  <c r="M16" i="6"/>
</calcChain>
</file>

<file path=xl/sharedStrings.xml><?xml version="1.0" encoding="utf-8"?>
<sst xmlns="http://schemas.openxmlformats.org/spreadsheetml/2006/main" count="113" uniqueCount="74">
  <si>
    <t>nom</t>
  </si>
  <si>
    <t>prénom</t>
  </si>
  <si>
    <t>email</t>
  </si>
  <si>
    <t>tel</t>
  </si>
  <si>
    <t>remise exept</t>
  </si>
  <si>
    <t>date (début du mois)</t>
  </si>
  <si>
    <t>nb pers</t>
  </si>
  <si>
    <t>Adresse1</t>
  </si>
  <si>
    <t>Adresse2</t>
  </si>
  <si>
    <t>philippe@revellat.fr</t>
  </si>
  <si>
    <t>date entrée</t>
  </si>
  <si>
    <t>Quittance N°</t>
  </si>
  <si>
    <t>année</t>
  </si>
  <si>
    <t xml:space="preserve">eplication remise </t>
  </si>
  <si>
    <t>Solde</t>
  </si>
  <si>
    <t>locbrut</t>
  </si>
  <si>
    <t>prov charg</t>
  </si>
  <si>
    <t>reajcharges</t>
  </si>
  <si>
    <t xml:space="preserve"> reglé</t>
  </si>
  <si>
    <t xml:space="preserve"> a regler</t>
  </si>
  <si>
    <t>date regl</t>
  </si>
  <si>
    <t>fourniture machine a laver 120€ et salieres 10€</t>
  </si>
  <si>
    <t>33 rue des Perroquets</t>
  </si>
  <si>
    <t>94350 Villiers sur marne</t>
  </si>
  <si>
    <t>Hauuy</t>
  </si>
  <si>
    <t>Charlotte</t>
  </si>
  <si>
    <t>Deprez</t>
  </si>
  <si>
    <t>Lucile</t>
  </si>
  <si>
    <t>Clément</t>
  </si>
  <si>
    <t>Mousset</t>
  </si>
  <si>
    <t>Rokia</t>
  </si>
  <si>
    <t>Boultame</t>
  </si>
  <si>
    <t>Preuvot</t>
  </si>
  <si>
    <t>Adélaïde</t>
  </si>
  <si>
    <t>Fabrice</t>
  </si>
  <si>
    <t>Dangin</t>
  </si>
  <si>
    <t>eau</t>
  </si>
  <si>
    <t>gaz</t>
  </si>
  <si>
    <t>elec</t>
  </si>
  <si>
    <t>internet</t>
  </si>
  <si>
    <t>relevés</t>
  </si>
  <si>
    <t>elc</t>
  </si>
  <si>
    <t>total</t>
  </si>
  <si>
    <t>nb mois de charges</t>
  </si>
  <si>
    <t>prov charges payées</t>
  </si>
  <si>
    <t>tot factures année</t>
  </si>
  <si>
    <t>reajustement</t>
  </si>
  <si>
    <t>nb mois présence</t>
  </si>
  <si>
    <t>Fabrice Dangin</t>
  </si>
  <si>
    <t xml:space="preserve">roukia </t>
  </si>
  <si>
    <t>Licile Deprez</t>
  </si>
  <si>
    <t>Adelaide Preuvot</t>
  </si>
  <si>
    <t>Charlotte Hauuy</t>
  </si>
  <si>
    <t>Benjamin Bedard</t>
  </si>
  <si>
    <t>Clement Mousset</t>
  </si>
  <si>
    <t>nb jours pres depuis debut exercice</t>
  </si>
  <si>
    <t>réajustement mensuel</t>
  </si>
  <si>
    <t>taxe d'habitation</t>
  </si>
  <si>
    <t>réajustement exercice</t>
  </si>
  <si>
    <t>Thibaud Presse</t>
  </si>
  <si>
    <t>taxe habitation annuelle</t>
  </si>
  <si>
    <t>taxe habitation (1 oui 0 non)</t>
  </si>
  <si>
    <t>Taxes 1935</t>
  </si>
  <si>
    <t>ù</t>
  </si>
  <si>
    <t>NBTAB</t>
  </si>
  <si>
    <t>reajustement charges 2015</t>
  </si>
  <si>
    <t>Charges 3423,2</t>
  </si>
  <si>
    <t>A payer</t>
  </si>
  <si>
    <t>Bilan Total 2015</t>
  </si>
  <si>
    <t>Tot provision charges</t>
  </si>
  <si>
    <t>Année</t>
  </si>
  <si>
    <t>Nom</t>
  </si>
  <si>
    <t>Date entrée</t>
  </si>
  <si>
    <t>Date sortie ou fin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</si>
</sst>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yy"/>
    <numFmt numFmtId="165" formatCode="yyyy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0"/>
      <color rgb="FF212121"/>
      <name val="Segoe U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164" fontId="0" fillId="3" borderId="1" xfId="0" applyNumberForma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quotePrefix="1" applyFill="1" applyBorder="1"/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164" fontId="0" fillId="3" borderId="5" xfId="0" applyNumberFormat="1" applyFill="1" applyBorder="1"/>
    <xf numFmtId="1" fontId="0" fillId="2" borderId="5" xfId="0" applyNumberFormat="1" applyFill="1" applyBorder="1"/>
    <xf numFmtId="165" fontId="0" fillId="2" borderId="5" xfId="0" applyNumberFormat="1" applyFill="1" applyBorder="1"/>
    <xf numFmtId="0" fontId="0" fillId="3" borderId="5" xfId="0" applyFill="1" applyBorder="1"/>
    <xf numFmtId="0" fontId="1" fillId="3" borderId="5" xfId="0" applyFont="1" applyFill="1" applyBorder="1"/>
    <xf numFmtId="0" fontId="0" fillId="2" borderId="5" xfId="0" applyFill="1" applyBorder="1"/>
    <xf numFmtId="0" fontId="0" fillId="4" borderId="5" xfId="0" applyFill="1" applyBorder="1"/>
    <xf numFmtId="0" fontId="0" fillId="5" borderId="5" xfId="0" applyFill="1" applyBorder="1"/>
    <xf numFmtId="164" fontId="0" fillId="5" borderId="7" xfId="0" applyNumberFormat="1" applyFill="1" applyBorder="1"/>
    <xf numFmtId="164" fontId="0" fillId="3" borderId="8" xfId="0" applyNumberFormat="1" applyFill="1" applyBorder="1"/>
    <xf numFmtId="1" fontId="0" fillId="2" borderId="8" xfId="0" applyNumberFormat="1" applyFill="1" applyBorder="1"/>
    <xf numFmtId="165" fontId="0" fillId="2" borderId="8" xfId="0" applyNumberFormat="1" applyFill="1" applyBorder="1"/>
    <xf numFmtId="0" fontId="1" fillId="3" borderId="8" xfId="0" applyFont="1" applyFill="1" applyBorder="1"/>
    <xf numFmtId="0" fontId="0" fillId="3" borderId="8" xfId="0" applyFill="1" applyBorder="1"/>
    <xf numFmtId="0" fontId="0" fillId="3" borderId="8" xfId="0" quotePrefix="1" applyFill="1" applyBorder="1"/>
    <xf numFmtId="0" fontId="0" fillId="4" borderId="8" xfId="0" applyFill="1" applyBorder="1"/>
    <xf numFmtId="0" fontId="0" fillId="2" borderId="8" xfId="0" applyFill="1" applyBorder="1"/>
    <xf numFmtId="0" fontId="0" fillId="5" borderId="8" xfId="0" applyFill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3" xfId="0" applyFill="1" applyBorder="1"/>
    <xf numFmtId="0" fontId="0" fillId="2" borderId="6" xfId="0" applyFill="1" applyBorder="1"/>
    <xf numFmtId="0" fontId="0" fillId="2" borderId="9" xfId="0" applyFill="1" applyBorder="1"/>
    <xf numFmtId="164" fontId="0" fillId="2" borderId="7" xfId="0" applyNumberFormat="1" applyFill="1" applyBorder="1"/>
    <xf numFmtId="14" fontId="0" fillId="5" borderId="8" xfId="0" applyNumberFormat="1" applyFill="1" applyBorder="1"/>
    <xf numFmtId="14" fontId="0" fillId="5" borderId="1" xfId="0" applyNumberFormat="1" applyFill="1" applyBorder="1"/>
    <xf numFmtId="14" fontId="0" fillId="5" borderId="5" xfId="0" applyNumberForma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" xfId="0" quotePrefix="1" applyFill="1" applyBorder="1"/>
    <xf numFmtId="164" fontId="0" fillId="2" borderId="2" xfId="0" applyNumberFormat="1" applyFill="1" applyBorder="1"/>
    <xf numFmtId="164" fontId="0" fillId="2" borderId="4" xfId="0" applyNumberFormat="1" applyFill="1" applyBorder="1"/>
    <xf numFmtId="14" fontId="0" fillId="0" borderId="11" xfId="0" applyNumberFormat="1" applyBorder="1" applyAlignment="1">
      <alignment wrapText="1"/>
    </xf>
    <xf numFmtId="14" fontId="0" fillId="3" borderId="8" xfId="0" applyNumberFormat="1" applyFill="1" applyBorder="1"/>
    <xf numFmtId="14" fontId="0" fillId="0" borderId="0" xfId="0" applyNumberFormat="1"/>
    <xf numFmtId="165" fontId="0" fillId="5" borderId="7" xfId="0" applyNumberFormat="1" applyFill="1" applyBorder="1"/>
    <xf numFmtId="165" fontId="0" fillId="2" borderId="2" xfId="0" applyNumberFormat="1" applyFill="1" applyBorder="1"/>
    <xf numFmtId="0" fontId="0" fillId="2" borderId="8" xfId="0" applyNumberFormat="1" applyFill="1" applyBorder="1"/>
    <xf numFmtId="0" fontId="0" fillId="2" borderId="0" xfId="0" applyFill="1" applyBorder="1"/>
    <xf numFmtId="166" fontId="0" fillId="0" borderId="0" xfId="0" applyNumberFormat="1"/>
    <xf numFmtId="166" fontId="0" fillId="0" borderId="11" xfId="0" applyNumberFormat="1" applyBorder="1" applyAlignment="1">
      <alignment wrapText="1"/>
    </xf>
    <xf numFmtId="166" fontId="0" fillId="4" borderId="8" xfId="0" applyNumberFormat="1" applyFill="1" applyBorder="1"/>
    <xf numFmtId="0" fontId="0" fillId="0" borderId="13" xfId="0" applyBorder="1" applyAlignment="1">
      <alignment wrapText="1"/>
    </xf>
    <xf numFmtId="165" fontId="0" fillId="2" borderId="14" xfId="0" applyNumberFormat="1" applyFill="1" applyBorder="1"/>
    <xf numFmtId="2" fontId="0" fillId="0" borderId="0" xfId="0" applyNumberFormat="1"/>
    <xf numFmtId="2" fontId="0" fillId="0" borderId="11" xfId="0" applyNumberFormat="1" applyBorder="1" applyAlignment="1">
      <alignment wrapText="1"/>
    </xf>
    <xf numFmtId="2" fontId="0" fillId="5" borderId="8" xfId="0" applyNumberFormat="1" applyFill="1" applyBorder="1"/>
    <xf numFmtId="0" fontId="0" fillId="0" borderId="0" xfId="0" applyBorder="1" applyAlignment="1">
      <alignment wrapText="1"/>
    </xf>
    <xf numFmtId="2" fontId="0" fillId="4" borderId="8" xfId="0" applyNumberFormat="1" applyFill="1" applyBorder="1"/>
    <xf numFmtId="1" fontId="0" fillId="0" borderId="0" xfId="0" applyNumberFormat="1"/>
    <xf numFmtId="1" fontId="0" fillId="0" borderId="15" xfId="0" applyNumberFormat="1" applyBorder="1" applyAlignment="1">
      <alignment wrapText="1"/>
    </xf>
    <xf numFmtId="1" fontId="0" fillId="5" borderId="16" xfId="0" applyNumberFormat="1" applyFill="1" applyBorder="1"/>
    <xf numFmtId="0" fontId="2" fillId="0" borderId="0" xfId="0" applyFont="1"/>
    <xf numFmtId="0" fontId="0" fillId="0" borderId="15" xfId="0" applyBorder="1" applyAlignment="1">
      <alignment wrapText="1"/>
    </xf>
    <xf numFmtId="2" fontId="0" fillId="2" borderId="16" xfId="0" applyNumberFormat="1" applyFill="1" applyBorder="1"/>
    <xf numFmtId="0" fontId="0" fillId="6" borderId="1" xfId="0" applyFill="1" applyBorder="1" applyAlignment="1">
      <alignment wrapText="1"/>
    </xf>
    <xf numFmtId="1" fontId="0" fillId="6" borderId="1" xfId="0" applyNumberFormat="1" applyFill="1" applyBorder="1"/>
    <xf numFmtId="2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717550</xdr:colOff>
      <xdr:row>18</xdr:row>
      <xdr:rowOff>152400</xdr:rowOff>
    </xdr:from>
    <xdr:to>
      <xdr:col>15</xdr:col>
      <xdr:colOff>57150</xdr:colOff>
      <xdr:row>40</xdr:row>
      <xdr:rowOff>0</xdr:rowOff>
    </xdr:to>
    <xdr:sp macro="" textlink="">
      <xdr:nvSpPr>
        <xdr:cNvPr id="2" name="ZoneTexte 1"/>
        <xdr:cNvSpPr txBox="1"/>
      </xdr:nvSpPr>
      <xdr:spPr>
        <a:xfrm>
          <a:off x="3600450" y="3797300"/>
          <a:ext cx="9766300" cy="40386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accent3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Comment ça marche: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codes couleur: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remplir les cases </a:t>
          </a:r>
        </a:p>
        <a:p>
          <a:r>
            <a:rPr lang="fr-FR" sz="1100">
              <a:solidFill>
                <a:schemeClr val="accent3"/>
              </a:solidFill>
              <a:latin typeface="+mn-lt"/>
              <a:ea typeface="+mn-ea"/>
              <a:cs typeface="+mn-cs"/>
            </a:rPr>
            <a:t>en vert tous les mois</a:t>
          </a:r>
        </a:p>
        <a:p>
          <a:r>
            <a:rPr lang="fr-FR" sz="1100">
              <a:solidFill>
                <a:schemeClr val="accent1"/>
              </a:solidFill>
              <a:latin typeface="+mn-lt"/>
              <a:ea typeface="+mn-ea"/>
              <a:cs typeface="+mn-cs"/>
            </a:rPr>
            <a:t>en bleu a l'entrée du locataire</a:t>
          </a:r>
        </a:p>
        <a:p>
          <a:r>
            <a:rPr lang="fr-FR" sz="1100">
              <a:solidFill>
                <a:schemeClr val="accent6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en rose quand il faut</a:t>
          </a:r>
        </a:p>
        <a:p>
          <a:r>
            <a:rPr lang="fr-FR" sz="1100">
              <a:solidFill>
                <a:srgbClr val="FFC000"/>
              </a:solidFill>
              <a:latin typeface="+mn-lt"/>
              <a:ea typeface="+mn-ea"/>
              <a:cs typeface="+mn-cs"/>
            </a:rPr>
            <a:t>orange, jamais</a:t>
          </a:r>
          <a:endParaRPr lang="fr-FR" sz="3200"/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 : Date au format "01/09/2016" juste dans la ligne2, le reste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suit</a:t>
          </a:r>
          <a:endParaRPr lang="fr-FR" sz="3200"/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COLONNE B date entréeds la coloc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au format "01/09/2016"  amettre pour chaque coloc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C N° de quitance, se met a jour automatiquement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D Année (auto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E à J coordonnées du locataire et adresse colocation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COLONE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H tel au format'0XXXXX pour garder le 0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K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Montant du loyer brut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L Provisions charge (par personne)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M Réajustement charges (par personne) nbre neg =rembours, positif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a payer en + (vient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en + ou- de provcharges)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 nombre de personne par chambre. peut être un nombre réel par ex 1,5 si il ya une 2eme pers la moitié du temps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 Remise exeptionelle par ex remboursement d'achat faits par certaines personnes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 explication sera imprimé sur la quitance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Q Montant a régler, montant que le locataire a du regler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 Montant Réglé montant que le locataire a réglé effectivement</a:t>
          </a:r>
          <a:endParaRPr lang="fr-FR" sz="3200"/>
        </a:p>
        <a:p>
          <a:pPr fontAlgn="base"/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Q Date du reglement</a:t>
          </a:r>
        </a:p>
        <a:p>
          <a:pPr marL="0" marR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 Solde (a reporter le mois prochain pour régul dans  "remise exeptionelle" (si du mettre le chiffre en négatif)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Et voila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enregistrer ce fichier (sans changer le nom), le fermer et ouvrir le fichier word qui est en publipostage avec celui-ci</a:t>
          </a:r>
        </a:p>
        <a:p>
          <a:endParaRPr lang="fr-FR" sz="3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133349</xdr:rowOff>
    </xdr:from>
    <xdr:to>
      <xdr:col>19</xdr:col>
      <xdr:colOff>857250</xdr:colOff>
      <xdr:row>15</xdr:row>
      <xdr:rowOff>104774</xdr:rowOff>
    </xdr:to>
    <xdr:sp macro="" textlink="">
      <xdr:nvSpPr>
        <xdr:cNvPr id="2" name="ZoneTexte 1"/>
        <xdr:cNvSpPr txBox="1"/>
      </xdr:nvSpPr>
      <xdr:spPr>
        <a:xfrm>
          <a:off x="238125" y="2238374"/>
          <a:ext cx="19792950" cy="11144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6600"/>
            <a:t>NE PAS TOUCHER A CET ONGLET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="75" zoomScaleNormal="75" workbookViewId="0">
      <selection sqref="A1:P1048576"/>
    </sheetView>
  </sheetViews>
  <sheetFormatPr baseColWidth="10" defaultRowHeight="15" x14ac:dyDescent="0.25"/>
  <cols>
    <col min="1" max="1" width="13.42578125" customWidth="1"/>
    <col min="2" max="2" width="12.140625" customWidth="1"/>
    <col min="3" max="3" width="10.5703125" customWidth="1"/>
    <col min="4" max="4" width="6.85546875" customWidth="1"/>
    <col min="7" max="7" width="22.7109375" customWidth="1"/>
    <col min="9" max="9" width="22" customWidth="1"/>
    <col min="10" max="10" width="13" customWidth="1"/>
    <col min="11" max="11" width="9.28515625" customWidth="1"/>
    <col min="12" max="12" width="9.42578125" customWidth="1"/>
    <col min="13" max="13" width="19.28515625" customWidth="1"/>
    <col min="14" max="14" width="11.5703125" bestFit="1" customWidth="1"/>
    <col min="15" max="15" width="14.7109375" customWidth="1"/>
    <col min="16" max="16" width="49.42578125" customWidth="1"/>
    <col min="17" max="18" width="14" customWidth="1"/>
    <col min="19" max="19" width="12" bestFit="1" customWidth="1"/>
    <col min="20" max="20" width="13.28515625" customWidth="1"/>
    <col min="21" max="21" width="16.42578125" customWidth="1"/>
  </cols>
  <sheetData>
    <row r="1" spans="1:20" s="1" customFormat="1" ht="30.75" thickBot="1" x14ac:dyDescent="0.3">
      <c r="A1" s="29" t="s">
        <v>5</v>
      </c>
      <c r="B1" s="30" t="s">
        <v>10</v>
      </c>
      <c r="C1" s="30" t="s">
        <v>11</v>
      </c>
      <c r="D1" s="30" t="s">
        <v>12</v>
      </c>
      <c r="E1" s="30" t="s">
        <v>0</v>
      </c>
      <c r="F1" s="30" t="s">
        <v>1</v>
      </c>
      <c r="G1" s="30" t="s">
        <v>2</v>
      </c>
      <c r="H1" s="30" t="s">
        <v>3</v>
      </c>
      <c r="I1" s="30" t="s">
        <v>7</v>
      </c>
      <c r="J1" s="30" t="s">
        <v>8</v>
      </c>
      <c r="K1" s="30" t="s">
        <v>15</v>
      </c>
      <c r="L1" s="30" t="s">
        <v>16</v>
      </c>
      <c r="M1" s="30" t="s">
        <v>17</v>
      </c>
      <c r="N1" s="30" t="s">
        <v>6</v>
      </c>
      <c r="O1" s="30" t="s">
        <v>4</v>
      </c>
      <c r="P1" s="30" t="s">
        <v>13</v>
      </c>
      <c r="Q1" s="30" t="s">
        <v>19</v>
      </c>
      <c r="R1" s="30" t="s">
        <v>18</v>
      </c>
      <c r="S1" s="30" t="s">
        <v>20</v>
      </c>
      <c r="T1" s="31" t="s">
        <v>14</v>
      </c>
    </row>
    <row r="2" spans="1:20" x14ac:dyDescent="0.25">
      <c r="A2" s="19">
        <v>42278</v>
      </c>
      <c r="B2" s="20">
        <v>41518</v>
      </c>
      <c r="C2" s="21">
        <f>INT(((A2-B2)*12/365)+1)</f>
        <v>25</v>
      </c>
      <c r="D2" s="22">
        <f>A2</f>
        <v>42278</v>
      </c>
      <c r="E2" s="23" t="s">
        <v>24</v>
      </c>
      <c r="F2" s="23" t="s">
        <v>25</v>
      </c>
      <c r="G2" s="24" t="s">
        <v>9</v>
      </c>
      <c r="H2" s="25"/>
      <c r="I2" s="24" t="s">
        <v>22</v>
      </c>
      <c r="J2" s="24" t="s">
        <v>23</v>
      </c>
      <c r="K2">
        <v>580</v>
      </c>
      <c r="L2" s="24">
        <v>50</v>
      </c>
      <c r="M2" s="26">
        <v>0</v>
      </c>
      <c r="N2" s="26">
        <v>1</v>
      </c>
      <c r="O2" s="8">
        <v>0</v>
      </c>
      <c r="P2" s="26" t="s">
        <v>21</v>
      </c>
      <c r="Q2" s="27">
        <f>K7+(N2*(L2+M2))-O2</f>
        <v>630</v>
      </c>
      <c r="R2" s="28">
        <v>500</v>
      </c>
      <c r="S2" s="36">
        <v>42249</v>
      </c>
      <c r="T2" s="34">
        <f>R2-Q2</f>
        <v>-130</v>
      </c>
    </row>
    <row r="3" spans="1:20" x14ac:dyDescent="0.25">
      <c r="A3" s="43">
        <f>A2</f>
        <v>42278</v>
      </c>
      <c r="B3" s="2">
        <v>42218</v>
      </c>
      <c r="C3" s="3">
        <f t="shared" ref="C3:C7" si="0">((A3-B3)*12/365)+1</f>
        <v>2.9726027397260273</v>
      </c>
      <c r="D3" s="4">
        <f t="shared" ref="D3:D7" si="1">A3</f>
        <v>42278</v>
      </c>
      <c r="E3" s="6" t="s">
        <v>29</v>
      </c>
      <c r="F3" s="5" t="s">
        <v>28</v>
      </c>
      <c r="G3" s="6" t="s">
        <v>9</v>
      </c>
      <c r="H3" s="7"/>
      <c r="I3" s="9" t="str">
        <f>I2</f>
        <v>33 rue des Perroquets</v>
      </c>
      <c r="J3" s="9" t="str">
        <f>J2</f>
        <v>94350 Villiers sur marne</v>
      </c>
      <c r="K3">
        <v>580</v>
      </c>
      <c r="L3" s="9">
        <f>L2</f>
        <v>50</v>
      </c>
      <c r="M3" s="9">
        <f>M2</f>
        <v>0</v>
      </c>
      <c r="N3" s="8">
        <v>2</v>
      </c>
      <c r="O3" s="8">
        <v>0</v>
      </c>
      <c r="P3" s="8"/>
      <c r="Q3" s="9">
        <f t="shared" ref="Q3:Q6" si="2">K3+(N3*L3)+M3-O3</f>
        <v>680</v>
      </c>
      <c r="R3" s="10">
        <v>640</v>
      </c>
      <c r="S3" s="37">
        <v>42249</v>
      </c>
      <c r="T3" s="32">
        <f t="shared" ref="T3:T7" si="3">R3-Q3</f>
        <v>-40</v>
      </c>
    </row>
    <row r="4" spans="1:20" x14ac:dyDescent="0.25">
      <c r="A4" s="43">
        <f t="shared" ref="A4:A7" si="4">A3</f>
        <v>42278</v>
      </c>
      <c r="B4" s="2">
        <v>42248</v>
      </c>
      <c r="C4" s="3">
        <f t="shared" si="0"/>
        <v>1.9863013698630136</v>
      </c>
      <c r="D4" s="4">
        <f t="shared" si="1"/>
        <v>42278</v>
      </c>
      <c r="E4" s="6" t="s">
        <v>26</v>
      </c>
      <c r="F4" s="5" t="s">
        <v>27</v>
      </c>
      <c r="G4" s="6" t="s">
        <v>9</v>
      </c>
      <c r="H4" s="7"/>
      <c r="I4" s="9" t="str">
        <f t="shared" ref="I4:J7" si="5">I3</f>
        <v>33 rue des Perroquets</v>
      </c>
      <c r="J4" s="9" t="str">
        <f t="shared" si="5"/>
        <v>94350 Villiers sur marne</v>
      </c>
      <c r="K4">
        <v>580</v>
      </c>
      <c r="L4" s="9">
        <f t="shared" ref="L4:L7" si="6">L3</f>
        <v>50</v>
      </c>
      <c r="M4" s="9">
        <v>-40</v>
      </c>
      <c r="N4" s="8">
        <v>1</v>
      </c>
      <c r="O4" s="8">
        <v>0</v>
      </c>
      <c r="P4" s="8"/>
      <c r="Q4" s="9">
        <f t="shared" si="2"/>
        <v>590</v>
      </c>
      <c r="R4" s="10">
        <v>580</v>
      </c>
      <c r="S4" s="37">
        <v>42249</v>
      </c>
      <c r="T4" s="32">
        <f t="shared" si="3"/>
        <v>-10</v>
      </c>
    </row>
    <row r="5" spans="1:20" x14ac:dyDescent="0.25">
      <c r="A5" s="43">
        <f t="shared" si="4"/>
        <v>42278</v>
      </c>
      <c r="B5" s="2">
        <v>42248</v>
      </c>
      <c r="C5" s="3">
        <f t="shared" si="0"/>
        <v>1.9863013698630136</v>
      </c>
      <c r="D5" s="4">
        <f t="shared" si="1"/>
        <v>42278</v>
      </c>
      <c r="E5" s="6" t="s">
        <v>31</v>
      </c>
      <c r="F5" s="5" t="s">
        <v>30</v>
      </c>
      <c r="G5" s="6" t="s">
        <v>9</v>
      </c>
      <c r="H5" s="7"/>
      <c r="I5" s="9" t="str">
        <f t="shared" si="5"/>
        <v>33 rue des Perroquets</v>
      </c>
      <c r="J5" s="9" t="str">
        <f t="shared" si="5"/>
        <v>94350 Villiers sur marne</v>
      </c>
      <c r="K5">
        <v>580</v>
      </c>
      <c r="L5" s="9">
        <f t="shared" si="6"/>
        <v>50</v>
      </c>
      <c r="M5" s="9">
        <f>M2</f>
        <v>0</v>
      </c>
      <c r="N5" s="8">
        <v>1</v>
      </c>
      <c r="O5" s="8">
        <v>0</v>
      </c>
      <c r="P5" s="8"/>
      <c r="Q5" s="9">
        <f t="shared" si="2"/>
        <v>630</v>
      </c>
      <c r="R5" s="10">
        <v>580</v>
      </c>
      <c r="S5" s="37">
        <v>42249</v>
      </c>
      <c r="T5" s="32">
        <f t="shared" si="3"/>
        <v>-50</v>
      </c>
    </row>
    <row r="6" spans="1:20" x14ac:dyDescent="0.25">
      <c r="A6" s="43">
        <f t="shared" si="4"/>
        <v>42278</v>
      </c>
      <c r="B6" s="2">
        <v>42005</v>
      </c>
      <c r="C6" s="3">
        <f t="shared" si="0"/>
        <v>9.9753424657534246</v>
      </c>
      <c r="D6" s="4">
        <f t="shared" si="1"/>
        <v>42278</v>
      </c>
      <c r="E6" s="6" t="s">
        <v>32</v>
      </c>
      <c r="F6" s="5" t="s">
        <v>33</v>
      </c>
      <c r="G6" s="6" t="s">
        <v>9</v>
      </c>
      <c r="H6" s="7"/>
      <c r="I6" s="9" t="str">
        <f t="shared" si="5"/>
        <v>33 rue des Perroquets</v>
      </c>
      <c r="J6" s="9" t="str">
        <f t="shared" si="5"/>
        <v>94350 Villiers sur marne</v>
      </c>
      <c r="K6">
        <v>580</v>
      </c>
      <c r="L6" s="9">
        <f t="shared" si="6"/>
        <v>50</v>
      </c>
      <c r="M6" s="9">
        <f>M2</f>
        <v>0</v>
      </c>
      <c r="N6" s="8">
        <v>1</v>
      </c>
      <c r="O6" s="8">
        <v>0</v>
      </c>
      <c r="P6" s="8"/>
      <c r="Q6" s="9">
        <f t="shared" si="2"/>
        <v>630</v>
      </c>
      <c r="R6" s="10">
        <v>580</v>
      </c>
      <c r="S6" s="37">
        <v>42249</v>
      </c>
      <c r="T6" s="32">
        <f t="shared" si="3"/>
        <v>-50</v>
      </c>
    </row>
    <row r="7" spans="1:20" ht="15.75" thickBot="1" x14ac:dyDescent="0.3">
      <c r="A7" s="44">
        <f t="shared" si="4"/>
        <v>42278</v>
      </c>
      <c r="B7" s="11">
        <v>41974</v>
      </c>
      <c r="C7" s="12">
        <f t="shared" si="0"/>
        <v>10.994520547945205</v>
      </c>
      <c r="D7" s="13">
        <f t="shared" si="1"/>
        <v>42278</v>
      </c>
      <c r="E7" s="14" t="s">
        <v>35</v>
      </c>
      <c r="F7" s="15" t="s">
        <v>34</v>
      </c>
      <c r="G7" s="14" t="s">
        <v>9</v>
      </c>
      <c r="H7" s="7"/>
      <c r="I7" s="16" t="str">
        <f t="shared" si="5"/>
        <v>33 rue des Perroquets</v>
      </c>
      <c r="J7" s="16" t="str">
        <f t="shared" si="5"/>
        <v>94350 Villiers sur marne</v>
      </c>
      <c r="K7">
        <v>580</v>
      </c>
      <c r="L7" s="16">
        <f t="shared" si="6"/>
        <v>50</v>
      </c>
      <c r="M7" s="16">
        <f>M2</f>
        <v>0</v>
      </c>
      <c r="N7" s="17">
        <v>1</v>
      </c>
      <c r="O7" s="17">
        <v>0</v>
      </c>
      <c r="P7" s="17"/>
      <c r="Q7" s="16">
        <f>K7+(N7*L7)+M7-O7</f>
        <v>630</v>
      </c>
      <c r="R7" s="18">
        <v>580</v>
      </c>
      <c r="S7" s="38">
        <v>42249</v>
      </c>
      <c r="T7" s="33">
        <f t="shared" si="3"/>
        <v>-50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selection activeCell="A2" sqref="A2"/>
    </sheetView>
  </sheetViews>
  <sheetFormatPr baseColWidth="10" defaultRowHeight="15" x14ac:dyDescent="0.25"/>
  <cols>
    <col min="1" max="1" width="9.5703125" customWidth="1"/>
    <col min="2" max="2" width="9.42578125" customWidth="1"/>
    <col min="3" max="3" width="10.5703125" customWidth="1"/>
    <col min="4" max="4" width="6.85546875" customWidth="1"/>
    <col min="7" max="7" width="22.7109375" customWidth="1"/>
    <col min="8" max="8" width="14.140625" customWidth="1"/>
    <col min="9" max="9" width="22" customWidth="1"/>
    <col min="10" max="10" width="13" customWidth="1"/>
    <col min="11" max="11" width="9.28515625" customWidth="1"/>
    <col min="12" max="12" width="9.42578125" customWidth="1"/>
    <col min="13" max="13" width="19.28515625" customWidth="1"/>
    <col min="15" max="15" width="14.7109375" customWidth="1"/>
    <col min="16" max="16" width="52.85546875" customWidth="1"/>
    <col min="17" max="18" width="14" customWidth="1"/>
    <col min="20" max="20" width="13.28515625" customWidth="1"/>
    <col min="21" max="21" width="16.42578125" customWidth="1"/>
  </cols>
  <sheetData>
    <row r="1" spans="1:20" s="1" customFormat="1" ht="45.75" thickBot="1" x14ac:dyDescent="0.3">
      <c r="A1" s="39" t="s">
        <v>5</v>
      </c>
      <c r="B1" s="40" t="s">
        <v>10</v>
      </c>
      <c r="C1" s="40" t="s">
        <v>11</v>
      </c>
      <c r="D1" s="40" t="s">
        <v>12</v>
      </c>
      <c r="E1" s="40" t="s">
        <v>0</v>
      </c>
      <c r="F1" s="40" t="s">
        <v>1</v>
      </c>
      <c r="G1" s="40" t="s">
        <v>2</v>
      </c>
      <c r="H1" s="40" t="s">
        <v>3</v>
      </c>
      <c r="I1" s="40" t="s">
        <v>7</v>
      </c>
      <c r="J1" s="40" t="s">
        <v>8</v>
      </c>
      <c r="K1" s="40" t="s">
        <v>15</v>
      </c>
      <c r="L1" s="40" t="s">
        <v>16</v>
      </c>
      <c r="M1" s="40" t="s">
        <v>17</v>
      </c>
      <c r="N1" s="40" t="s">
        <v>6</v>
      </c>
      <c r="O1" s="40" t="s">
        <v>4</v>
      </c>
      <c r="P1" s="40" t="s">
        <v>13</v>
      </c>
      <c r="Q1" s="40" t="s">
        <v>19</v>
      </c>
      <c r="R1" s="40" t="s">
        <v>18</v>
      </c>
      <c r="S1" s="40" t="s">
        <v>20</v>
      </c>
      <c r="T1" s="41" t="s">
        <v>14</v>
      </c>
    </row>
    <row r="2" spans="1:20" x14ac:dyDescent="0.25">
      <c r="A2" s="35" t="str">
        <f>TEXT(donnees!A2,"mmm-aaaa")</f>
        <v>oct-2015</v>
      </c>
      <c r="B2" s="35" t="str">
        <f>TEXT(donnees!B2,"mmm-aaaa")</f>
        <v>sept-2013</v>
      </c>
      <c r="C2" s="35" t="str">
        <f>TEXT(donnees!C2,"##")</f>
        <v>25</v>
      </c>
      <c r="D2" s="35" t="str">
        <f>TEXT(donnees!D2,"aaa")</f>
        <v>2015</v>
      </c>
      <c r="E2" s="35" t="str">
        <f>TEXT(donnees!E2,"")</f>
        <v>Hauuy</v>
      </c>
      <c r="F2" s="35" t="str">
        <f>TEXT(donnees!F2,"")</f>
        <v>Charlotte</v>
      </c>
      <c r="G2" s="35" t="str">
        <f>TEXT(donnees!G2,"")</f>
        <v>philippe@revellat.fr</v>
      </c>
      <c r="H2" s="42" t="str">
        <f>TEXT(donnees!H2,"0??????????")</f>
        <v xml:space="preserve">0          </v>
      </c>
      <c r="I2" s="27" t="str">
        <f>donnees!I2</f>
        <v>33 rue des Perroquets</v>
      </c>
      <c r="J2" s="27" t="str">
        <f>donnees!J2</f>
        <v>94350 Villiers sur marne</v>
      </c>
      <c r="K2" s="27">
        <f>donnees!K7</f>
        <v>580</v>
      </c>
      <c r="L2" s="27">
        <f>donnees!L2</f>
        <v>50</v>
      </c>
      <c r="M2" s="27">
        <f>donnees!M2</f>
        <v>0</v>
      </c>
      <c r="N2" s="27">
        <f>donnees!N2</f>
        <v>1</v>
      </c>
      <c r="O2" s="27">
        <f>donnees!O2</f>
        <v>0</v>
      </c>
      <c r="P2" s="27" t="str">
        <f>IF(ISBLANK(donnees!P2),""," (Pour "&amp; donnees!P2&amp;") ")</f>
        <v xml:space="preserve"> (Pour fourniture machine a laver 120€ et salieres 10€) </v>
      </c>
      <c r="Q2" s="27">
        <f>donnees!Q2</f>
        <v>630</v>
      </c>
      <c r="R2" s="27">
        <f>donnees!R2</f>
        <v>500</v>
      </c>
      <c r="S2" s="27" t="str">
        <f>TEXT(donnees!S2,"j-mmm-aaaa")</f>
        <v>2-sept-2015</v>
      </c>
      <c r="T2" s="27">
        <f>donnees!T2</f>
        <v>-130</v>
      </c>
    </row>
    <row r="3" spans="1:20" x14ac:dyDescent="0.25">
      <c r="A3" s="35" t="str">
        <f>TEXT(donnees!A3,"mmm-aaaa")</f>
        <v>oct-2015</v>
      </c>
      <c r="B3" s="35" t="str">
        <f>TEXT(donnees!B3,"mmm-aaaa")</f>
        <v>août-2015</v>
      </c>
      <c r="C3" s="35" t="str">
        <f>TEXT(donnees!C3,"##")</f>
        <v>3</v>
      </c>
      <c r="D3" s="35" t="str">
        <f>TEXT(donnees!D3,"aaa")</f>
        <v>2015</v>
      </c>
      <c r="E3" s="35" t="str">
        <f>TEXT(donnees!E3,"")</f>
        <v>Mousset</v>
      </c>
      <c r="F3" s="35" t="str">
        <f>TEXT(donnees!F3,"")</f>
        <v>Clément</v>
      </c>
      <c r="G3" s="35" t="str">
        <f>TEXT(donnees!G3,"")</f>
        <v>philippe@revellat.fr</v>
      </c>
      <c r="H3" s="42" t="str">
        <f>TEXT(donnees!H3,"0??????????")</f>
        <v xml:space="preserve">0          </v>
      </c>
      <c r="I3" s="27" t="str">
        <f>donnees!I3</f>
        <v>33 rue des Perroquets</v>
      </c>
      <c r="J3" s="27" t="str">
        <f>donnees!J3</f>
        <v>94350 Villiers sur marne</v>
      </c>
      <c r="K3" s="27">
        <f>donnees!K3</f>
        <v>580</v>
      </c>
      <c r="L3" s="27">
        <f>donnees!L3</f>
        <v>50</v>
      </c>
      <c r="M3" s="27">
        <f>donnees!M3</f>
        <v>0</v>
      </c>
      <c r="N3" s="27">
        <f>donnees!N3</f>
        <v>2</v>
      </c>
      <c r="O3" s="27">
        <f>donnees!O3</f>
        <v>0</v>
      </c>
      <c r="P3" s="27" t="str">
        <f>IF(ISBLANK(donnees!P3),""," (Pour "&amp; donnees!P3&amp;") ")</f>
        <v/>
      </c>
      <c r="Q3" s="27">
        <f>donnees!Q3</f>
        <v>680</v>
      </c>
      <c r="R3" s="27">
        <f>donnees!R3</f>
        <v>640</v>
      </c>
      <c r="S3" s="27" t="str">
        <f>TEXT(donnees!S3,"j-mmm-aaaa")</f>
        <v>2-sept-2015</v>
      </c>
      <c r="T3" s="27">
        <f>donnees!T3</f>
        <v>-40</v>
      </c>
    </row>
    <row r="4" spans="1:20" x14ac:dyDescent="0.25">
      <c r="A4" s="35" t="str">
        <f>TEXT(donnees!A4,"mmm-aaaa")</f>
        <v>oct-2015</v>
      </c>
      <c r="B4" s="35" t="str">
        <f>TEXT(donnees!B4,"mmm-aaaa")</f>
        <v>sept-2015</v>
      </c>
      <c r="C4" s="35" t="str">
        <f>TEXT(donnees!C4,"##")</f>
        <v>2</v>
      </c>
      <c r="D4" s="35" t="str">
        <f>TEXT(donnees!D4,"aaa")</f>
        <v>2015</v>
      </c>
      <c r="E4" s="35" t="str">
        <f>TEXT(donnees!E4,"")</f>
        <v>Deprez</v>
      </c>
      <c r="F4" s="35" t="str">
        <f>TEXT(donnees!F4,"")</f>
        <v>Lucile</v>
      </c>
      <c r="G4" s="35" t="str">
        <f>TEXT(donnees!G4,"")</f>
        <v>philippe@revellat.fr</v>
      </c>
      <c r="H4" s="42" t="str">
        <f>TEXT(donnees!H4,"0??????????")</f>
        <v xml:space="preserve">0          </v>
      </c>
      <c r="I4" s="27" t="str">
        <f>donnees!I4</f>
        <v>33 rue des Perroquets</v>
      </c>
      <c r="J4" s="27" t="str">
        <f>donnees!J4</f>
        <v>94350 Villiers sur marne</v>
      </c>
      <c r="K4" s="27">
        <f>donnees!K4</f>
        <v>580</v>
      </c>
      <c r="L4" s="27">
        <f>donnees!L4</f>
        <v>50</v>
      </c>
      <c r="M4" s="27">
        <f>donnees!M4</f>
        <v>-40</v>
      </c>
      <c r="N4" s="27">
        <f>donnees!N4</f>
        <v>1</v>
      </c>
      <c r="O4" s="27">
        <f>donnees!O4</f>
        <v>0</v>
      </c>
      <c r="P4" s="27" t="str">
        <f>IF(ISBLANK(donnees!P4),""," (Pour "&amp; donnees!P4&amp;") ")</f>
        <v/>
      </c>
      <c r="Q4" s="27">
        <f>donnees!Q4</f>
        <v>590</v>
      </c>
      <c r="R4" s="27">
        <f>donnees!R4</f>
        <v>580</v>
      </c>
      <c r="S4" s="27" t="str">
        <f>TEXT(donnees!S4,"j-mmm-aaaa")</f>
        <v>2-sept-2015</v>
      </c>
      <c r="T4" s="27">
        <f>donnees!T4</f>
        <v>-10</v>
      </c>
    </row>
    <row r="5" spans="1:20" x14ac:dyDescent="0.25">
      <c r="A5" s="35" t="str">
        <f>TEXT(donnees!A5,"mmm-aaaa")</f>
        <v>oct-2015</v>
      </c>
      <c r="B5" s="35" t="str">
        <f>TEXT(donnees!B5,"mmm-aaaa")</f>
        <v>sept-2015</v>
      </c>
      <c r="C5" s="35" t="str">
        <f>TEXT(donnees!C5,"##")</f>
        <v>2</v>
      </c>
      <c r="D5" s="35" t="str">
        <f>TEXT(donnees!D5,"aaa")</f>
        <v>2015</v>
      </c>
      <c r="E5" s="35" t="str">
        <f>TEXT(donnees!E5,"")</f>
        <v>Boultame</v>
      </c>
      <c r="F5" s="35" t="str">
        <f>TEXT(donnees!F5,"")</f>
        <v>Rokia</v>
      </c>
      <c r="G5" s="35" t="str">
        <f>TEXT(donnees!G5,"")</f>
        <v>philippe@revellat.fr</v>
      </c>
      <c r="H5" s="42" t="str">
        <f>TEXT(donnees!H5,"0??????????")</f>
        <v xml:space="preserve">0          </v>
      </c>
      <c r="I5" s="27" t="str">
        <f>donnees!I5</f>
        <v>33 rue des Perroquets</v>
      </c>
      <c r="J5" s="27" t="str">
        <f>donnees!J5</f>
        <v>94350 Villiers sur marne</v>
      </c>
      <c r="K5" s="27">
        <f>donnees!K5</f>
        <v>580</v>
      </c>
      <c r="L5" s="27">
        <f>donnees!L5</f>
        <v>50</v>
      </c>
      <c r="M5" s="27">
        <f>donnees!M5</f>
        <v>0</v>
      </c>
      <c r="N5" s="27">
        <f>donnees!N5</f>
        <v>1</v>
      </c>
      <c r="O5" s="27">
        <f>donnees!O5</f>
        <v>0</v>
      </c>
      <c r="P5" s="27" t="str">
        <f>IF(ISBLANK(donnees!P5),""," (Pour "&amp; donnees!P5&amp;") ")</f>
        <v/>
      </c>
      <c r="Q5" s="27">
        <f>donnees!Q5</f>
        <v>630</v>
      </c>
      <c r="R5" s="27">
        <f>donnees!R5</f>
        <v>580</v>
      </c>
      <c r="S5" s="27" t="str">
        <f>TEXT(donnees!S5,"j-mmm-aaaa")</f>
        <v>2-sept-2015</v>
      </c>
      <c r="T5" s="27">
        <f>donnees!T5</f>
        <v>-50</v>
      </c>
    </row>
    <row r="6" spans="1:20" x14ac:dyDescent="0.25">
      <c r="A6" s="35" t="str">
        <f>TEXT(donnees!A6,"mmm-aaaa")</f>
        <v>oct-2015</v>
      </c>
      <c r="B6" s="35" t="str">
        <f>TEXT(donnees!B6,"mmm-aaaa")</f>
        <v>janv-2015</v>
      </c>
      <c r="C6" s="35" t="str">
        <f>TEXT(donnees!C6,"##")</f>
        <v>10</v>
      </c>
      <c r="D6" s="35" t="str">
        <f>TEXT(donnees!D6,"aaa")</f>
        <v>2015</v>
      </c>
      <c r="E6" s="35" t="str">
        <f>TEXT(donnees!E6,"")</f>
        <v>Preuvot</v>
      </c>
      <c r="F6" s="35" t="str">
        <f>TEXT(donnees!F6,"")</f>
        <v>Adélaïde</v>
      </c>
      <c r="G6" s="35" t="str">
        <f>TEXT(donnees!G6,"")</f>
        <v>philippe@revellat.fr</v>
      </c>
      <c r="H6" s="42" t="str">
        <f>TEXT(donnees!H6,"0??????????")</f>
        <v xml:space="preserve">0          </v>
      </c>
      <c r="I6" s="27" t="str">
        <f>donnees!I6</f>
        <v>33 rue des Perroquets</v>
      </c>
      <c r="J6" s="27" t="str">
        <f>donnees!J6</f>
        <v>94350 Villiers sur marne</v>
      </c>
      <c r="K6" s="27">
        <f>donnees!K6</f>
        <v>580</v>
      </c>
      <c r="L6" s="27">
        <f>donnees!L6</f>
        <v>50</v>
      </c>
      <c r="M6" s="27">
        <f>donnees!M6</f>
        <v>0</v>
      </c>
      <c r="N6" s="27">
        <f>donnees!N6</f>
        <v>1</v>
      </c>
      <c r="O6" s="27">
        <f>donnees!O6</f>
        <v>0</v>
      </c>
      <c r="P6" s="27" t="str">
        <f>IF(ISBLANK(donnees!P6),""," (Pour "&amp; donnees!P6&amp;") ")</f>
        <v/>
      </c>
      <c r="Q6" s="27">
        <f>donnees!Q6</f>
        <v>630</v>
      </c>
      <c r="R6" s="27">
        <f>donnees!R6</f>
        <v>580</v>
      </c>
      <c r="S6" s="27" t="str">
        <f>TEXT(donnees!S6,"j-mmm-aaaa")</f>
        <v>2-sept-2015</v>
      </c>
      <c r="T6" s="27">
        <f>donnees!T6</f>
        <v>-50</v>
      </c>
    </row>
    <row r="7" spans="1:20" x14ac:dyDescent="0.25">
      <c r="A7" s="35" t="str">
        <f>TEXT(donnees!A7,"mmm-aaaa")</f>
        <v>oct-2015</v>
      </c>
      <c r="B7" s="35" t="str">
        <f>TEXT(donnees!B7,"mmm-aaaa")</f>
        <v>déc-2014</v>
      </c>
      <c r="C7" s="35" t="str">
        <f>TEXT(donnees!C7,"##")</f>
        <v>11</v>
      </c>
      <c r="D7" s="35" t="str">
        <f>TEXT(donnees!D7,"aaa")</f>
        <v>2015</v>
      </c>
      <c r="E7" s="35" t="str">
        <f>TEXT(donnees!E7,"")</f>
        <v>Dangin</v>
      </c>
      <c r="F7" s="35" t="str">
        <f>TEXT(donnees!F7,"")</f>
        <v>Fabrice</v>
      </c>
      <c r="G7" s="35" t="str">
        <f>TEXT(donnees!G7,"")</f>
        <v>philippe@revellat.fr</v>
      </c>
      <c r="H7" s="42" t="str">
        <f>TEXT(donnees!H7,"0??????????")</f>
        <v xml:space="preserve">0          </v>
      </c>
      <c r="I7" s="27" t="str">
        <f>donnees!I7</f>
        <v>33 rue des Perroquets</v>
      </c>
      <c r="J7" s="27" t="str">
        <f>donnees!J7</f>
        <v>94350 Villiers sur marne</v>
      </c>
      <c r="K7" s="27" t="e">
        <f>donnees!#REF!</f>
        <v>#REF!</v>
      </c>
      <c r="L7" s="27">
        <f>donnees!L7</f>
        <v>50</v>
      </c>
      <c r="M7" s="27">
        <f>donnees!M7</f>
        <v>0</v>
      </c>
      <c r="N7" s="27">
        <f>donnees!N7</f>
        <v>1</v>
      </c>
      <c r="O7" s="27">
        <f>donnees!O7</f>
        <v>0</v>
      </c>
      <c r="P7" s="27" t="str">
        <f>IF(ISBLANK(donnees!P7),""," (Pour "&amp; donnees!P7&amp;") ")</f>
        <v/>
      </c>
      <c r="Q7" s="27">
        <f>donnees!Q7</f>
        <v>630</v>
      </c>
      <c r="R7" s="27">
        <f>donnees!R7</f>
        <v>580</v>
      </c>
      <c r="S7" s="27" t="str">
        <f>TEXT(donnees!S7,"j-mmm-aaaa")</f>
        <v>2-sept-2015</v>
      </c>
      <c r="T7" s="27">
        <f>donnees!T7</f>
        <v>-50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75" zoomScaleNormal="75" workbookViewId="0">
      <selection activeCell="B17" sqref="B17"/>
    </sheetView>
  </sheetViews>
  <sheetFormatPr baseColWidth="10" defaultRowHeight="15" x14ac:dyDescent="0.25"/>
  <cols>
    <col min="1" max="1" width="7.7109375" customWidth="1"/>
    <col min="2" max="2" width="18.42578125" customWidth="1"/>
    <col min="3" max="4" width="12.140625" style="47" customWidth="1"/>
    <col min="5" max="5" width="12.5703125" customWidth="1"/>
    <col min="6" max="6" width="9.42578125" customWidth="1"/>
    <col min="7" max="7" width="11.5703125" bestFit="1" customWidth="1"/>
    <col min="8" max="8" width="11.5703125" style="52" customWidth="1"/>
    <col min="9" max="9" width="19.85546875" style="52" customWidth="1"/>
    <col min="10" max="11" width="14" customWidth="1"/>
    <col min="12" max="12" width="14.42578125" style="57" bestFit="1" customWidth="1"/>
    <col min="13" max="13" width="14.42578125" style="62" customWidth="1"/>
    <col min="14" max="14" width="8.140625" customWidth="1"/>
    <col min="15" max="15" width="10.7109375" customWidth="1"/>
    <col min="16" max="16" width="19.85546875" customWidth="1"/>
    <col min="17" max="17" width="8.7109375" customWidth="1"/>
    <col min="18" max="18" width="3.42578125" customWidth="1"/>
    <col min="19" max="19" width="12.42578125" customWidth="1"/>
    <col min="22" max="22" width="16.7109375" customWidth="1"/>
  </cols>
  <sheetData>
    <row r="1" spans="1:22" ht="15.75" thickBot="1" x14ac:dyDescent="0.3">
      <c r="S1" s="62"/>
    </row>
    <row r="2" spans="1:22" s="1" customFormat="1" ht="42.75" customHeight="1" thickBot="1" x14ac:dyDescent="0.3">
      <c r="A2" s="29" t="s">
        <v>70</v>
      </c>
      <c r="B2" s="55" t="s">
        <v>71</v>
      </c>
      <c r="C2" s="45" t="s">
        <v>72</v>
      </c>
      <c r="D2" s="45" t="s">
        <v>73</v>
      </c>
      <c r="E2" s="30" t="s">
        <v>55</v>
      </c>
      <c r="F2" s="30" t="s">
        <v>16</v>
      </c>
      <c r="G2" s="30" t="s">
        <v>6</v>
      </c>
      <c r="H2" s="53" t="s">
        <v>47</v>
      </c>
      <c r="I2" s="53" t="s">
        <v>43</v>
      </c>
      <c r="J2" s="30" t="s">
        <v>44</v>
      </c>
      <c r="K2" s="30" t="s">
        <v>58</v>
      </c>
      <c r="L2" s="58" t="s">
        <v>56</v>
      </c>
      <c r="M2" s="68" t="s">
        <v>65</v>
      </c>
      <c r="O2" s="60" t="s">
        <v>67</v>
      </c>
      <c r="P2" t="s">
        <v>69</v>
      </c>
      <c r="Q2" s="51">
        <f>SUM(J3:J10)</f>
        <v>3765</v>
      </c>
      <c r="S2" s="63" t="s">
        <v>61</v>
      </c>
      <c r="T2" s="66" t="s">
        <v>60</v>
      </c>
      <c r="U2" s="68" t="s">
        <v>68</v>
      </c>
      <c r="V2" s="55" t="s">
        <v>0</v>
      </c>
    </row>
    <row r="3" spans="1:22" x14ac:dyDescent="0.25">
      <c r="A3" s="48">
        <v>42005</v>
      </c>
      <c r="B3" s="56" t="s">
        <v>48</v>
      </c>
      <c r="C3" s="46">
        <v>41974</v>
      </c>
      <c r="D3" s="46">
        <v>42217</v>
      </c>
      <c r="E3" s="50">
        <f>D3-C3</f>
        <v>243</v>
      </c>
      <c r="F3" s="9">
        <v>50</v>
      </c>
      <c r="G3" s="8">
        <v>1</v>
      </c>
      <c r="H3" s="61">
        <f t="shared" ref="H3:H10" si="0">ROUND(YEARFRAC(C3,D3,3)*12,1)</f>
        <v>8</v>
      </c>
      <c r="I3" s="54">
        <f t="shared" ref="I3:I10" si="1">ROUND(G3*YEARFRAC(C3,D3,3)*12,1)</f>
        <v>8</v>
      </c>
      <c r="J3" s="27">
        <f>F3*I3</f>
        <v>400</v>
      </c>
      <c r="K3" s="59">
        <f>(CHanntot/nbmdc*I3)-J3</f>
        <v>-36.313413014608329</v>
      </c>
      <c r="L3" s="59">
        <f>K3/I3</f>
        <v>-4.5391766268260412</v>
      </c>
      <c r="M3" s="69">
        <f>K3</f>
        <v>-36.313413014608329</v>
      </c>
      <c r="O3" s="57">
        <f t="shared" ref="O3:O10" si="2">K3+T3</f>
        <v>286.18658698539167</v>
      </c>
      <c r="P3" t="s">
        <v>45</v>
      </c>
      <c r="Q3" s="65">
        <f>'charges annuelles'!C6</f>
        <v>3423.2</v>
      </c>
      <c r="S3" s="64">
        <v>1</v>
      </c>
      <c r="T3" s="67">
        <f t="shared" ref="T3:T10" si="3">(thab/NBTAB2)*S3</f>
        <v>322.5</v>
      </c>
      <c r="U3" s="70">
        <f>T3+M3</f>
        <v>286.18658698539167</v>
      </c>
      <c r="V3" s="56" t="s">
        <v>48</v>
      </c>
    </row>
    <row r="4" spans="1:22" x14ac:dyDescent="0.25">
      <c r="A4" s="49">
        <f>A$3</f>
        <v>42005</v>
      </c>
      <c r="B4" s="56" t="s">
        <v>49</v>
      </c>
      <c r="C4" s="46">
        <v>41974</v>
      </c>
      <c r="D4" s="46">
        <v>42277</v>
      </c>
      <c r="E4" s="50">
        <f>D4-C4</f>
        <v>303</v>
      </c>
      <c r="F4" s="9">
        <f>F3</f>
        <v>50</v>
      </c>
      <c r="G4" s="8">
        <v>1</v>
      </c>
      <c r="H4" s="61">
        <f t="shared" si="0"/>
        <v>10</v>
      </c>
      <c r="I4" s="54">
        <f t="shared" si="1"/>
        <v>10</v>
      </c>
      <c r="J4" s="27">
        <f t="shared" ref="J4:J8" si="4">F4*I4</f>
        <v>500</v>
      </c>
      <c r="K4" s="59">
        <f t="shared" ref="K4:K10" si="5">(CHanntot/nbmdc*I4)-J4</f>
        <v>-45.391766268260426</v>
      </c>
      <c r="L4" s="59">
        <f t="shared" ref="L4:L10" si="6">K4/I4</f>
        <v>-4.5391766268260429</v>
      </c>
      <c r="M4" s="69">
        <f t="shared" ref="M4:M10" si="7">K4</f>
        <v>-45.391766268260426</v>
      </c>
      <c r="O4" s="57">
        <f t="shared" si="2"/>
        <v>277.10823373173957</v>
      </c>
      <c r="P4" t="s">
        <v>46</v>
      </c>
      <c r="Q4">
        <f>Q3-Q2</f>
        <v>-341.80000000000018</v>
      </c>
      <c r="S4" s="64">
        <v>1</v>
      </c>
      <c r="T4" s="67">
        <f t="shared" si="3"/>
        <v>322.5</v>
      </c>
      <c r="U4" s="70">
        <f t="shared" ref="U4:U10" si="8">T4+M4</f>
        <v>277.10823373173957</v>
      </c>
      <c r="V4" s="56" t="s">
        <v>49</v>
      </c>
    </row>
    <row r="5" spans="1:22" x14ac:dyDescent="0.25">
      <c r="A5" s="49">
        <f t="shared" ref="A5:A10" si="9">A$3</f>
        <v>42005</v>
      </c>
      <c r="B5" s="56" t="s">
        <v>52</v>
      </c>
      <c r="C5" s="46">
        <v>41974</v>
      </c>
      <c r="D5" s="46">
        <v>42369</v>
      </c>
      <c r="E5" s="50">
        <f t="shared" ref="E5:E8" si="10">D5-C5</f>
        <v>395</v>
      </c>
      <c r="F5" s="9">
        <f t="shared" ref="F5:F10" si="11">F4</f>
        <v>50</v>
      </c>
      <c r="G5" s="8">
        <v>1</v>
      </c>
      <c r="H5" s="61">
        <f t="shared" si="0"/>
        <v>13</v>
      </c>
      <c r="I5" s="54">
        <f t="shared" si="1"/>
        <v>13</v>
      </c>
      <c r="J5" s="27">
        <f t="shared" si="4"/>
        <v>650</v>
      </c>
      <c r="K5" s="59">
        <f t="shared" si="5"/>
        <v>-59.009296148738485</v>
      </c>
      <c r="L5" s="59">
        <f t="shared" si="6"/>
        <v>-4.5391766268260376</v>
      </c>
      <c r="M5" s="69">
        <f t="shared" si="7"/>
        <v>-59.009296148738485</v>
      </c>
      <c r="O5" s="57">
        <f t="shared" si="2"/>
        <v>263.49070385126151</v>
      </c>
      <c r="S5" s="64">
        <v>1</v>
      </c>
      <c r="T5" s="67">
        <f t="shared" si="3"/>
        <v>322.5</v>
      </c>
      <c r="U5" s="70">
        <f t="shared" si="8"/>
        <v>263.49070385126151</v>
      </c>
      <c r="V5" s="56" t="s">
        <v>52</v>
      </c>
    </row>
    <row r="6" spans="1:22" x14ac:dyDescent="0.25">
      <c r="A6" s="49">
        <f t="shared" si="9"/>
        <v>42005</v>
      </c>
      <c r="B6" s="56" t="s">
        <v>51</v>
      </c>
      <c r="C6" s="46">
        <v>41974</v>
      </c>
      <c r="D6" s="46">
        <v>42369</v>
      </c>
      <c r="E6" s="50">
        <f t="shared" si="10"/>
        <v>395</v>
      </c>
      <c r="F6" s="9">
        <f t="shared" si="11"/>
        <v>50</v>
      </c>
      <c r="G6" s="8">
        <v>1</v>
      </c>
      <c r="H6" s="61">
        <f t="shared" si="0"/>
        <v>13</v>
      </c>
      <c r="I6" s="54">
        <f t="shared" si="1"/>
        <v>13</v>
      </c>
      <c r="J6" s="27">
        <f t="shared" si="4"/>
        <v>650</v>
      </c>
      <c r="K6" s="59">
        <f t="shared" si="5"/>
        <v>-59.009296148738485</v>
      </c>
      <c r="L6" s="59">
        <f t="shared" si="6"/>
        <v>-4.5391766268260376</v>
      </c>
      <c r="M6" s="69">
        <f t="shared" si="7"/>
        <v>-59.009296148738485</v>
      </c>
      <c r="O6" s="57">
        <f t="shared" si="2"/>
        <v>263.49070385126151</v>
      </c>
      <c r="S6" s="64">
        <v>1</v>
      </c>
      <c r="T6" s="67">
        <f t="shared" si="3"/>
        <v>322.5</v>
      </c>
      <c r="U6" s="70">
        <f t="shared" si="8"/>
        <v>263.49070385126151</v>
      </c>
      <c r="V6" s="56" t="s">
        <v>51</v>
      </c>
    </row>
    <row r="7" spans="1:22" x14ac:dyDescent="0.25">
      <c r="A7" s="49">
        <f t="shared" si="9"/>
        <v>42005</v>
      </c>
      <c r="B7" s="56" t="s">
        <v>50</v>
      </c>
      <c r="C7" s="46">
        <v>42005</v>
      </c>
      <c r="D7" s="46">
        <v>42316</v>
      </c>
      <c r="E7" s="50">
        <f t="shared" si="10"/>
        <v>311</v>
      </c>
      <c r="F7" s="9">
        <f t="shared" si="11"/>
        <v>50</v>
      </c>
      <c r="G7" s="8">
        <v>2</v>
      </c>
      <c r="H7" s="61">
        <f t="shared" si="0"/>
        <v>10.199999999999999</v>
      </c>
      <c r="I7" s="54">
        <f t="shared" si="1"/>
        <v>20.399999999999999</v>
      </c>
      <c r="J7" s="27">
        <f t="shared" si="4"/>
        <v>1019.9999999999999</v>
      </c>
      <c r="K7" s="59">
        <f t="shared" si="5"/>
        <v>-92.599203187251192</v>
      </c>
      <c r="L7" s="59">
        <f t="shared" si="6"/>
        <v>-4.5391766268260394</v>
      </c>
      <c r="M7" s="69">
        <f t="shared" si="7"/>
        <v>-92.599203187251192</v>
      </c>
      <c r="O7" s="57">
        <f t="shared" si="2"/>
        <v>229.90079681274881</v>
      </c>
      <c r="S7" s="64">
        <v>1</v>
      </c>
      <c r="T7" s="67">
        <f t="shared" si="3"/>
        <v>322.5</v>
      </c>
      <c r="U7" s="70">
        <f t="shared" si="8"/>
        <v>229.90079681274881</v>
      </c>
      <c r="V7" s="56" t="s">
        <v>50</v>
      </c>
    </row>
    <row r="8" spans="1:22" ht="15.75" thickBot="1" x14ac:dyDescent="0.3">
      <c r="A8" s="49">
        <f t="shared" si="9"/>
        <v>42005</v>
      </c>
      <c r="B8" s="4" t="s">
        <v>53</v>
      </c>
      <c r="C8" s="46">
        <v>42005</v>
      </c>
      <c r="D8" s="46">
        <v>42109</v>
      </c>
      <c r="E8" s="50">
        <f t="shared" si="10"/>
        <v>104</v>
      </c>
      <c r="F8" s="16">
        <f t="shared" si="11"/>
        <v>50</v>
      </c>
      <c r="G8" s="17">
        <v>1</v>
      </c>
      <c r="H8" s="61">
        <f t="shared" si="0"/>
        <v>3.4</v>
      </c>
      <c r="I8" s="54">
        <f t="shared" si="1"/>
        <v>3.4</v>
      </c>
      <c r="J8" s="27">
        <f t="shared" si="4"/>
        <v>170</v>
      </c>
      <c r="K8" s="59">
        <f t="shared" si="5"/>
        <v>-15.433200531208541</v>
      </c>
      <c r="L8" s="59">
        <f t="shared" si="6"/>
        <v>-4.5391766268260421</v>
      </c>
      <c r="M8" s="69">
        <f t="shared" si="7"/>
        <v>-15.433200531208541</v>
      </c>
      <c r="O8" s="57">
        <f t="shared" si="2"/>
        <v>307.06679946879149</v>
      </c>
      <c r="S8" s="64">
        <v>1</v>
      </c>
      <c r="T8" s="67">
        <f t="shared" si="3"/>
        <v>322.5</v>
      </c>
      <c r="U8" s="70">
        <f t="shared" si="8"/>
        <v>307.06679946879149</v>
      </c>
      <c r="V8" s="4" t="s">
        <v>53</v>
      </c>
    </row>
    <row r="9" spans="1:22" ht="15.75" thickBot="1" x14ac:dyDescent="0.3">
      <c r="A9" s="49">
        <f t="shared" si="9"/>
        <v>42005</v>
      </c>
      <c r="B9" s="4" t="s">
        <v>59</v>
      </c>
      <c r="C9" s="46">
        <v>42109</v>
      </c>
      <c r="D9" s="46">
        <v>42185</v>
      </c>
      <c r="E9" s="50">
        <f t="shared" ref="E9:E10" si="12">D9-C9</f>
        <v>76</v>
      </c>
      <c r="F9" s="16">
        <f t="shared" si="11"/>
        <v>50</v>
      </c>
      <c r="G9" s="17">
        <v>1</v>
      </c>
      <c r="H9" s="61">
        <f t="shared" si="0"/>
        <v>2.5</v>
      </c>
      <c r="I9" s="54">
        <f t="shared" si="1"/>
        <v>2.5</v>
      </c>
      <c r="J9" s="27">
        <f t="shared" ref="J9" si="13">F9*I9</f>
        <v>125</v>
      </c>
      <c r="K9" s="59">
        <f t="shared" si="5"/>
        <v>-11.347941567065106</v>
      </c>
      <c r="L9" s="59">
        <f t="shared" si="6"/>
        <v>-4.5391766268260429</v>
      </c>
      <c r="M9" s="69">
        <f t="shared" si="7"/>
        <v>-11.347941567065106</v>
      </c>
      <c r="O9" s="57">
        <f t="shared" si="2"/>
        <v>-11.347941567065106</v>
      </c>
      <c r="S9" s="64">
        <v>0</v>
      </c>
      <c r="T9" s="67">
        <f t="shared" si="3"/>
        <v>0</v>
      </c>
      <c r="U9" s="70">
        <f t="shared" si="8"/>
        <v>-11.347941567065106</v>
      </c>
      <c r="V9" s="4" t="s">
        <v>59</v>
      </c>
    </row>
    <row r="10" spans="1:22" ht="15.75" thickBot="1" x14ac:dyDescent="0.3">
      <c r="A10" s="49">
        <f t="shared" si="9"/>
        <v>42005</v>
      </c>
      <c r="B10" s="4" t="s">
        <v>54</v>
      </c>
      <c r="C10" s="46">
        <v>42218</v>
      </c>
      <c r="D10" s="46">
        <v>42369</v>
      </c>
      <c r="E10" s="50">
        <f t="shared" si="12"/>
        <v>151</v>
      </c>
      <c r="F10" s="16">
        <f t="shared" si="11"/>
        <v>50</v>
      </c>
      <c r="G10" s="17">
        <v>1</v>
      </c>
      <c r="H10" s="61">
        <f t="shared" si="0"/>
        <v>5</v>
      </c>
      <c r="I10" s="54">
        <f t="shared" si="1"/>
        <v>5</v>
      </c>
      <c r="J10" s="27">
        <f t="shared" ref="J10" si="14">F10*I10</f>
        <v>250</v>
      </c>
      <c r="K10" s="59">
        <f t="shared" si="5"/>
        <v>-22.695883134130213</v>
      </c>
      <c r="L10" s="59">
        <f t="shared" si="6"/>
        <v>-4.5391766268260429</v>
      </c>
      <c r="M10" s="69">
        <f t="shared" si="7"/>
        <v>-22.695883134130213</v>
      </c>
      <c r="O10" s="57">
        <f t="shared" si="2"/>
        <v>-22.695883134130213</v>
      </c>
      <c r="S10" s="64">
        <v>0</v>
      </c>
      <c r="T10" s="67">
        <f t="shared" si="3"/>
        <v>0</v>
      </c>
      <c r="U10" s="70">
        <f t="shared" si="8"/>
        <v>-22.695883134130213</v>
      </c>
      <c r="V10" s="4" t="s">
        <v>54</v>
      </c>
    </row>
    <row r="15" spans="1:22" x14ac:dyDescent="0.25">
      <c r="S15" t="s">
        <v>64</v>
      </c>
    </row>
    <row r="16" spans="1:22" x14ac:dyDescent="0.25">
      <c r="A16" t="s">
        <v>42</v>
      </c>
      <c r="C16" s="56"/>
      <c r="H16" s="52">
        <f>SUM(H3:H10)</f>
        <v>65.099999999999994</v>
      </c>
      <c r="I16" s="52">
        <f>SUM(I3:I10)</f>
        <v>75.300000000000011</v>
      </c>
      <c r="J16">
        <f>SUM(J3:J10)</f>
        <v>3765</v>
      </c>
      <c r="M16" s="62">
        <f>SUM(M3:M15)</f>
        <v>-341.80000000000081</v>
      </c>
      <c r="N16">
        <v>1020</v>
      </c>
      <c r="O16" s="65" t="s">
        <v>66</v>
      </c>
      <c r="S16" s="62">
        <f>SUM(S3:S10)</f>
        <v>6</v>
      </c>
    </row>
    <row r="17" spans="14:16" x14ac:dyDescent="0.25">
      <c r="N17">
        <v>212.13</v>
      </c>
      <c r="O17" s="65" t="s">
        <v>62</v>
      </c>
    </row>
    <row r="18" spans="14:16" x14ac:dyDescent="0.25">
      <c r="N18">
        <f>N16+N17</f>
        <v>1232.1300000000001</v>
      </c>
    </row>
    <row r="19" spans="14:16" x14ac:dyDescent="0.25">
      <c r="P19" t="s">
        <v>63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7" sqref="A7"/>
    </sheetView>
  </sheetViews>
  <sheetFormatPr baseColWidth="10" defaultRowHeight="15" x14ac:dyDescent="0.25"/>
  <sheetData>
    <row r="1" spans="1:2" x14ac:dyDescent="0.25">
      <c r="A1" t="s">
        <v>40</v>
      </c>
      <c r="B1" s="47">
        <v>41972</v>
      </c>
    </row>
    <row r="2" spans="1:2" x14ac:dyDescent="0.25">
      <c r="A2" t="s">
        <v>36</v>
      </c>
    </row>
    <row r="3" spans="1:2" x14ac:dyDescent="0.25">
      <c r="A3" t="s">
        <v>37</v>
      </c>
      <c r="B3">
        <v>17819</v>
      </c>
    </row>
    <row r="4" spans="1:2" x14ac:dyDescent="0.25">
      <c r="A4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7" sqref="C7"/>
    </sheetView>
  </sheetViews>
  <sheetFormatPr baseColWidth="10" defaultRowHeight="15" x14ac:dyDescent="0.25"/>
  <sheetData>
    <row r="1" spans="1:4" x14ac:dyDescent="0.25">
      <c r="B1">
        <v>2014</v>
      </c>
      <c r="C1">
        <v>2015</v>
      </c>
      <c r="D1">
        <v>2016</v>
      </c>
    </row>
    <row r="2" spans="1:4" x14ac:dyDescent="0.25">
      <c r="A2" t="s">
        <v>36</v>
      </c>
      <c r="C2">
        <v>744.77</v>
      </c>
    </row>
    <row r="3" spans="1:4" x14ac:dyDescent="0.25">
      <c r="A3" t="s">
        <v>37</v>
      </c>
      <c r="C3">
        <v>1396.77</v>
      </c>
    </row>
    <row r="4" spans="1:4" x14ac:dyDescent="0.25">
      <c r="A4" t="s">
        <v>41</v>
      </c>
      <c r="C4">
        <v>882.42</v>
      </c>
    </row>
    <row r="5" spans="1:4" x14ac:dyDescent="0.25">
      <c r="A5" t="s">
        <v>39</v>
      </c>
      <c r="C5">
        <f>33.27*12</f>
        <v>399.24</v>
      </c>
      <c r="D5">
        <f>32*12</f>
        <v>384</v>
      </c>
    </row>
    <row r="6" spans="1:4" x14ac:dyDescent="0.25">
      <c r="A6" t="s">
        <v>42</v>
      </c>
      <c r="C6">
        <f>SUM(C2:C5)</f>
        <v>3423.2</v>
      </c>
    </row>
    <row r="7" spans="1:4" x14ac:dyDescent="0.25">
      <c r="A7" t="s">
        <v>57</v>
      </c>
      <c r="C7">
        <v>1935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donnees</vt:lpstr>
      <vt:lpstr>Feuil1</vt:lpstr>
      <vt:lpstr>ventilation charges</vt:lpstr>
      <vt:lpstr>relevés compteurs</vt:lpstr>
      <vt:lpstr>charges annuelles</vt:lpstr>
      <vt:lpstr>Feuil5</vt:lpstr>
      <vt:lpstr>Feuil2</vt:lpstr>
      <vt:lpstr>CHanntot</vt:lpstr>
      <vt:lpstr>nbmdc</vt:lpstr>
      <vt:lpstr>nbmdp</vt:lpstr>
      <vt:lpstr>NBTAB</vt:lpstr>
      <vt:lpstr>NBTAB2</vt:lpstr>
      <vt:lpstr>thab</vt:lpstr>
      <vt:lpstr>'ventilation charges'!Zone_d_impression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DPAdmin</dc:creator>
  <cp:lastModifiedBy>Dell</cp:lastModifiedBy>
  <cp:lastPrinted>2015-12-21T14:43:38Z</cp:lastPrinted>
  <dcterms:created xsi:type="dcterms:W3CDTF">2015-09-17T15:54:34Z</dcterms:created>
  <dcterms:modified xsi:type="dcterms:W3CDTF">2015-12-24T09:49:48Z</dcterms:modified>
</cp:coreProperties>
</file>