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Cigales\"/>
    </mc:Choice>
  </mc:AlternateContent>
  <bookViews>
    <workbookView xWindow="0" yWindow="0" windowWidth="8190" windowHeight="6060" firstSheet="5" activeTab="7"/>
  </bookViews>
  <sheets>
    <sheet name="2 - Plan de Trésorerie" sheetId="23" r:id="rId1"/>
    <sheet name="INDEX" sheetId="25" r:id="rId2"/>
    <sheet name="TdF Equilibré" sheetId="20" r:id="rId3"/>
    <sheet name="TdF Non Equilibré" sheetId="24" r:id="rId4"/>
    <sheet name="1 - Résultats Prévisionnels" sheetId="8" r:id="rId5"/>
    <sheet name="Données" sheetId="16" r:id="rId6"/>
    <sheet name="Pôle Santé - 2021" sheetId="17" r:id="rId7"/>
    <sheet name="Pôle santé déf 2022" sheetId="26" r:id="rId8"/>
    <sheet name="Pôle Santé - 2022" sheetId="18" r:id="rId9"/>
    <sheet name="Pôle Santé - 2023" sheetId="19" r:id="rId10"/>
  </sheets>
  <definedNames>
    <definedName name="AllSeated_Splitty" localSheetId="7">#REF!</definedName>
    <definedName name="AllSeated_Splitty">#REF!</definedName>
    <definedName name="cout_salaire_RO_euros" localSheetId="7">#REF!</definedName>
    <definedName name="cout_salaire_RO_euros">#REF!</definedName>
    <definedName name="cout_salaire_RO_euros_update_2015_07" localSheetId="7">#REF!</definedName>
    <definedName name="cout_salaire_RO_euros_update_2015_07">#REF!</definedName>
    <definedName name="Dan_Gabi_cout_RO" localSheetId="7">#REF!</definedName>
    <definedName name="Dan_Gabi_cout_RO">#REF!</definedName>
    <definedName name="jours_travailles_par_mois" localSheetId="7">#REF!</definedName>
    <definedName name="jours_travailles_par_mois">#REF!</definedName>
    <definedName name="param_salaire_RO" localSheetId="7">#REF!</definedName>
    <definedName name="param_salaire_RO">#REF!</definedName>
    <definedName name="RONs__Euros" localSheetId="7">#REF!</definedName>
    <definedName name="RONs__Euros">#REF!</definedName>
    <definedName name="somaj_tehnic" localSheetId="7">#REF!</definedName>
    <definedName name="somaj_tehnic">#REF!</definedName>
    <definedName name="_xlnm.Print_Area" localSheetId="4">'1 - Résultats Prévisionnels'!$A$44:$M$79</definedName>
    <definedName name="_xlnm.Print_Area" localSheetId="2">'TdF Equilibré'!$B$3:$H$53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26" l="1"/>
  <c r="G79" i="26"/>
  <c r="L38" i="26"/>
  <c r="G38" i="26"/>
  <c r="J70" i="26"/>
  <c r="I70" i="26"/>
  <c r="H70" i="26"/>
  <c r="J69" i="26"/>
  <c r="I69" i="26"/>
  <c r="H69" i="26"/>
  <c r="J67" i="26"/>
  <c r="I67" i="26"/>
  <c r="L67" i="26" s="1"/>
  <c r="H67" i="26"/>
  <c r="I52" i="26"/>
  <c r="L49" i="26"/>
  <c r="I42" i="26"/>
  <c r="L42" i="26" s="1"/>
  <c r="I23" i="26"/>
  <c r="H23" i="26"/>
  <c r="I22" i="26"/>
  <c r="H22" i="26"/>
  <c r="L33" i="26"/>
  <c r="G15" i="26"/>
  <c r="G16" i="26"/>
  <c r="I16" i="26" s="1"/>
  <c r="L16" i="26" s="1"/>
  <c r="G25" i="26"/>
  <c r="G26" i="26"/>
  <c r="G27" i="26"/>
  <c r="G28" i="26"/>
  <c r="G29" i="26"/>
  <c r="I33" i="26"/>
  <c r="I31" i="26"/>
  <c r="L31" i="26" s="1"/>
  <c r="I32" i="26"/>
  <c r="L32" i="26"/>
  <c r="I13" i="26"/>
  <c r="I19" i="26"/>
  <c r="L19" i="26" s="1"/>
  <c r="H18" i="26"/>
  <c r="L18" i="26" s="1"/>
  <c r="I14" i="26"/>
  <c r="L72" i="26"/>
  <c r="L71" i="26"/>
  <c r="L68" i="26"/>
  <c r="L66" i="26"/>
  <c r="G66" i="26"/>
  <c r="L65" i="26"/>
  <c r="G65" i="26"/>
  <c r="L64" i="26"/>
  <c r="G64" i="26"/>
  <c r="L63" i="26"/>
  <c r="G63" i="26"/>
  <c r="L62" i="26"/>
  <c r="G62" i="26"/>
  <c r="L61" i="26"/>
  <c r="G61" i="26"/>
  <c r="L60" i="26"/>
  <c r="G60" i="26"/>
  <c r="L59" i="26"/>
  <c r="G59" i="26"/>
  <c r="L58" i="26"/>
  <c r="G58" i="26"/>
  <c r="L57" i="26"/>
  <c r="G57" i="26"/>
  <c r="L56" i="26"/>
  <c r="G56" i="26"/>
  <c r="L55" i="26"/>
  <c r="L53" i="26"/>
  <c r="L52" i="26"/>
  <c r="L43" i="26"/>
  <c r="G43" i="26"/>
  <c r="L41" i="26"/>
  <c r="L40" i="26"/>
  <c r="L39" i="26"/>
  <c r="I30" i="26"/>
  <c r="L30" i="26" s="1"/>
  <c r="L29" i="26"/>
  <c r="L28" i="26"/>
  <c r="L27" i="26"/>
  <c r="L26" i="26"/>
  <c r="L25" i="26"/>
  <c r="H38" i="26"/>
  <c r="L17" i="26"/>
  <c r="L15" i="26"/>
  <c r="L14" i="26"/>
  <c r="L13" i="26"/>
  <c r="L12" i="26"/>
  <c r="L11" i="26"/>
  <c r="G76" i="26" l="1"/>
  <c r="G77" i="26" s="1"/>
  <c r="K38" i="26"/>
  <c r="J38" i="26"/>
  <c r="H75" i="26"/>
  <c r="H76" i="26" s="1"/>
  <c r="H77" i="26" s="1"/>
  <c r="I75" i="26"/>
  <c r="J75" i="26"/>
  <c r="L22" i="26"/>
  <c r="L34" i="26"/>
  <c r="L35" i="26"/>
  <c r="L69" i="26"/>
  <c r="L70" i="26"/>
  <c r="N28" i="16"/>
  <c r="M28" i="16"/>
  <c r="K27" i="16"/>
  <c r="L27" i="16" s="1"/>
  <c r="F27" i="16"/>
  <c r="I27" i="16" s="1"/>
  <c r="K26" i="16"/>
  <c r="L26" i="16" s="1"/>
  <c r="I26" i="16"/>
  <c r="F26" i="16"/>
  <c r="K25" i="16"/>
  <c r="L25" i="16" s="1"/>
  <c r="F25" i="16"/>
  <c r="I25" i="16" s="1"/>
  <c r="L24" i="16"/>
  <c r="K24" i="16"/>
  <c r="F24" i="16"/>
  <c r="I24" i="16" s="1"/>
  <c r="K23" i="16"/>
  <c r="L23" i="16" s="1"/>
  <c r="F23" i="16"/>
  <c r="I23" i="16" s="1"/>
  <c r="K22" i="16"/>
  <c r="L22" i="16" s="1"/>
  <c r="F22" i="16"/>
  <c r="I22" i="16" s="1"/>
  <c r="K21" i="16"/>
  <c r="L21" i="16" s="1"/>
  <c r="F21" i="16"/>
  <c r="I21" i="16" s="1"/>
  <c r="J76" i="26" l="1"/>
  <c r="J77" i="26" s="1"/>
  <c r="L75" i="26"/>
  <c r="L28" i="16"/>
  <c r="I28" i="16"/>
  <c r="D82" i="23" l="1"/>
  <c r="G10" i="20"/>
  <c r="G10" i="24"/>
  <c r="D62" i="20"/>
  <c r="M43" i="8"/>
  <c r="L43" i="8"/>
  <c r="L78" i="8"/>
  <c r="K78" i="8"/>
  <c r="F31" i="8"/>
  <c r="F36" i="8" s="1"/>
  <c r="K69" i="23"/>
  <c r="D18" i="24"/>
  <c r="D18" i="20"/>
  <c r="G14" i="8"/>
  <c r="G16" i="8" s="1"/>
  <c r="G13" i="8"/>
  <c r="F14" i="8"/>
  <c r="F13" i="8"/>
  <c r="G65" i="8"/>
  <c r="F65" i="8"/>
  <c r="G50" i="8"/>
  <c r="G49" i="8"/>
  <c r="G75" i="8" s="1"/>
  <c r="G76" i="8" s="1"/>
  <c r="G48" i="8"/>
  <c r="F48" i="8"/>
  <c r="F49" i="8"/>
  <c r="F50" i="8"/>
  <c r="G15" i="24" s="1"/>
  <c r="D15" i="24" s="1"/>
  <c r="F79" i="23"/>
  <c r="H75" i="8"/>
  <c r="H43" i="8"/>
  <c r="H36" i="8"/>
  <c r="H37" i="8" s="1"/>
  <c r="I43" i="24"/>
  <c r="I48" i="24" s="1"/>
  <c r="I50" i="24" s="1"/>
  <c r="I27" i="24"/>
  <c r="I6" i="24"/>
  <c r="AB49" i="23"/>
  <c r="J48" i="23"/>
  <c r="I6" i="20"/>
  <c r="I43" i="20"/>
  <c r="I48" i="20" s="1"/>
  <c r="I27" i="20"/>
  <c r="H6" i="20"/>
  <c r="G6" i="20"/>
  <c r="F6" i="20"/>
  <c r="L44" i="23"/>
  <c r="J69" i="23"/>
  <c r="G16" i="23"/>
  <c r="F16" i="23"/>
  <c r="E16" i="23"/>
  <c r="K14" i="23"/>
  <c r="J14" i="23"/>
  <c r="K13" i="23"/>
  <c r="J13" i="23"/>
  <c r="G34" i="24"/>
  <c r="D34" i="24" s="1"/>
  <c r="D48" i="24" s="1"/>
  <c r="F34" i="24"/>
  <c r="F33" i="24"/>
  <c r="H17" i="24"/>
  <c r="H27" i="24" s="1"/>
  <c r="G17" i="24"/>
  <c r="D17" i="24" s="1"/>
  <c r="F17" i="24"/>
  <c r="G16" i="24"/>
  <c r="D16" i="24" s="1"/>
  <c r="F15" i="24"/>
  <c r="K71" i="23"/>
  <c r="J71" i="23"/>
  <c r="K70" i="23"/>
  <c r="J70" i="23"/>
  <c r="K68" i="23"/>
  <c r="J68" i="23"/>
  <c r="K67" i="23"/>
  <c r="J67" i="23"/>
  <c r="K66" i="23"/>
  <c r="J66" i="23"/>
  <c r="K65" i="23"/>
  <c r="J65" i="23"/>
  <c r="K64" i="23"/>
  <c r="J64" i="23"/>
  <c r="K63" i="23"/>
  <c r="J63" i="23"/>
  <c r="K62" i="23"/>
  <c r="J62" i="23"/>
  <c r="K61" i="23"/>
  <c r="J61" i="23"/>
  <c r="K60" i="23"/>
  <c r="J60" i="23"/>
  <c r="K59" i="23"/>
  <c r="J59" i="23"/>
  <c r="K58" i="23"/>
  <c r="J58" i="23"/>
  <c r="K57" i="23"/>
  <c r="J57" i="23"/>
  <c r="K56" i="23"/>
  <c r="J56" i="23"/>
  <c r="K55" i="23"/>
  <c r="J55" i="23"/>
  <c r="K54" i="23"/>
  <c r="J54" i="23"/>
  <c r="K53" i="23"/>
  <c r="J53" i="23"/>
  <c r="K51" i="23"/>
  <c r="J51" i="23"/>
  <c r="K50" i="23"/>
  <c r="J50" i="23"/>
  <c r="K49" i="23"/>
  <c r="J49" i="23"/>
  <c r="AL46" i="23"/>
  <c r="K42" i="23"/>
  <c r="K44" i="23" s="1"/>
  <c r="J42" i="23"/>
  <c r="J44" i="23" s="1"/>
  <c r="K35" i="23"/>
  <c r="J35" i="23"/>
  <c r="K33" i="23"/>
  <c r="K32" i="23"/>
  <c r="J32" i="23"/>
  <c r="K31" i="23"/>
  <c r="J31" i="23"/>
  <c r="K25" i="23"/>
  <c r="J25" i="23"/>
  <c r="K24" i="23"/>
  <c r="J24" i="23"/>
  <c r="K23" i="23"/>
  <c r="J23" i="23"/>
  <c r="K22" i="23"/>
  <c r="K46" i="23" s="1"/>
  <c r="J22" i="23"/>
  <c r="K21" i="23"/>
  <c r="J21" i="23"/>
  <c r="K20" i="23"/>
  <c r="J20" i="23"/>
  <c r="K19" i="23"/>
  <c r="J19" i="23"/>
  <c r="K18" i="23"/>
  <c r="J18" i="23"/>
  <c r="K17" i="23"/>
  <c r="J17" i="23"/>
  <c r="K12" i="23"/>
  <c r="J12" i="23"/>
  <c r="L16" i="23"/>
  <c r="O92" i="23"/>
  <c r="AX91" i="23"/>
  <c r="AX93" i="23" s="1"/>
  <c r="AX76" i="23" s="1"/>
  <c r="AW91" i="23"/>
  <c r="AW93" i="23" s="1"/>
  <c r="AW76" i="23" s="1"/>
  <c r="AV91" i="23"/>
  <c r="AV93" i="23" s="1"/>
  <c r="AV76" i="23" s="1"/>
  <c r="AU91" i="23"/>
  <c r="AU93" i="23" s="1"/>
  <c r="AU76" i="23" s="1"/>
  <c r="AT91" i="23"/>
  <c r="AT93" i="23" s="1"/>
  <c r="AT76" i="23" s="1"/>
  <c r="AS91" i="23"/>
  <c r="AS93" i="23" s="1"/>
  <c r="AS76" i="23" s="1"/>
  <c r="AR91" i="23"/>
  <c r="AR93" i="23" s="1"/>
  <c r="AR76" i="23" s="1"/>
  <c r="AQ91" i="23"/>
  <c r="AQ93" i="23" s="1"/>
  <c r="AQ76" i="23" s="1"/>
  <c r="AP91" i="23"/>
  <c r="AP93" i="23" s="1"/>
  <c r="AP76" i="23" s="1"/>
  <c r="AO91" i="23"/>
  <c r="AO93" i="23" s="1"/>
  <c r="AO76" i="23" s="1"/>
  <c r="AN91" i="23"/>
  <c r="AN93" i="23" s="1"/>
  <c r="AN76" i="23" s="1"/>
  <c r="AM91" i="23"/>
  <c r="AM93" i="23" s="1"/>
  <c r="AM76" i="23" s="1"/>
  <c r="AL91" i="23"/>
  <c r="AL93" i="23" s="1"/>
  <c r="AL76" i="23" s="1"/>
  <c r="AK91" i="23"/>
  <c r="AK93" i="23" s="1"/>
  <c r="AK76" i="23" s="1"/>
  <c r="AJ91" i="23"/>
  <c r="AJ93" i="23" s="1"/>
  <c r="AJ76" i="23" s="1"/>
  <c r="AI91" i="23"/>
  <c r="AI93" i="23" s="1"/>
  <c r="AI76" i="23" s="1"/>
  <c r="AH91" i="23"/>
  <c r="AH93" i="23" s="1"/>
  <c r="AH76" i="23" s="1"/>
  <c r="AG91" i="23"/>
  <c r="AG93" i="23" s="1"/>
  <c r="AG76" i="23" s="1"/>
  <c r="AF91" i="23"/>
  <c r="AF93" i="23" s="1"/>
  <c r="AF76" i="23" s="1"/>
  <c r="AE91" i="23"/>
  <c r="AE93" i="23" s="1"/>
  <c r="AE76" i="23" s="1"/>
  <c r="AD91" i="23"/>
  <c r="AD93" i="23" s="1"/>
  <c r="AD76" i="23" s="1"/>
  <c r="AC91" i="23"/>
  <c r="AC93" i="23" s="1"/>
  <c r="AC76" i="23" s="1"/>
  <c r="AB91" i="23"/>
  <c r="AB93" i="23" s="1"/>
  <c r="AB76" i="23" s="1"/>
  <c r="AA91" i="23"/>
  <c r="AA93" i="23" s="1"/>
  <c r="AA76" i="23" s="1"/>
  <c r="Z91" i="23"/>
  <c r="Z93" i="23" s="1"/>
  <c r="Z76" i="23" s="1"/>
  <c r="Y91" i="23"/>
  <c r="Y93" i="23" s="1"/>
  <c r="Y76" i="23" s="1"/>
  <c r="X91" i="23"/>
  <c r="X93" i="23" s="1"/>
  <c r="X76" i="23" s="1"/>
  <c r="W91" i="23"/>
  <c r="W93" i="23" s="1"/>
  <c r="W76" i="23" s="1"/>
  <c r="V91" i="23"/>
  <c r="V93" i="23" s="1"/>
  <c r="V76" i="23" s="1"/>
  <c r="U91" i="23"/>
  <c r="U93" i="23" s="1"/>
  <c r="U76" i="23" s="1"/>
  <c r="T91" i="23"/>
  <c r="T93" i="23" s="1"/>
  <c r="T76" i="23" s="1"/>
  <c r="S91" i="23"/>
  <c r="S93" i="23" s="1"/>
  <c r="S76" i="23" s="1"/>
  <c r="R91" i="23"/>
  <c r="R93" i="23" s="1"/>
  <c r="R76" i="23" s="1"/>
  <c r="Q91" i="23"/>
  <c r="Q93" i="23" s="1"/>
  <c r="Q76" i="23" s="1"/>
  <c r="P91" i="23"/>
  <c r="P93" i="23" s="1"/>
  <c r="P76" i="23" s="1"/>
  <c r="P77" i="23" s="1"/>
  <c r="O91" i="23"/>
  <c r="O93" i="23" s="1"/>
  <c r="O76" i="23" s="1"/>
  <c r="O86" i="23"/>
  <c r="P86" i="23" s="1"/>
  <c r="Q86" i="23" s="1"/>
  <c r="R86" i="23" s="1"/>
  <c r="S86" i="23" s="1"/>
  <c r="T86" i="23" s="1"/>
  <c r="U86" i="23" s="1"/>
  <c r="V86" i="23" s="1"/>
  <c r="W86" i="23" s="1"/>
  <c r="X86" i="23" s="1"/>
  <c r="Y86" i="23" s="1"/>
  <c r="Z86" i="23" s="1"/>
  <c r="AA86" i="23" s="1"/>
  <c r="AB86" i="23" s="1"/>
  <c r="AC86" i="23" s="1"/>
  <c r="AD86" i="23" s="1"/>
  <c r="AE86" i="23" s="1"/>
  <c r="AF86" i="23" s="1"/>
  <c r="AG86" i="23" s="1"/>
  <c r="AH86" i="23" s="1"/>
  <c r="AI86" i="23" s="1"/>
  <c r="AJ86" i="23" s="1"/>
  <c r="AK86" i="23" s="1"/>
  <c r="AL86" i="23" s="1"/>
  <c r="AM86" i="23" s="1"/>
  <c r="AN86" i="23" s="1"/>
  <c r="AO86" i="23" s="1"/>
  <c r="AP86" i="23" s="1"/>
  <c r="AQ86" i="23" s="1"/>
  <c r="AR86" i="23" s="1"/>
  <c r="AS86" i="23" s="1"/>
  <c r="AT86" i="23" s="1"/>
  <c r="AU86" i="23" s="1"/>
  <c r="AV86" i="23" s="1"/>
  <c r="AW86" i="23" s="1"/>
  <c r="AX86" i="23" s="1"/>
  <c r="G77" i="23"/>
  <c r="F77" i="23"/>
  <c r="E77" i="23"/>
  <c r="AX75" i="23"/>
  <c r="AW75" i="23"/>
  <c r="AV75" i="23"/>
  <c r="AU75" i="23"/>
  <c r="AT75" i="23"/>
  <c r="AS75" i="23"/>
  <c r="AR75" i="23"/>
  <c r="AQ75" i="23"/>
  <c r="AP75" i="23"/>
  <c r="AO75" i="23"/>
  <c r="AN75" i="23"/>
  <c r="AM75" i="23"/>
  <c r="K75" i="23"/>
  <c r="J75" i="23"/>
  <c r="K74" i="23"/>
  <c r="J74" i="23"/>
  <c r="AX73" i="23"/>
  <c r="AW73" i="23"/>
  <c r="AV73" i="23"/>
  <c r="AU73" i="23"/>
  <c r="AT73" i="23"/>
  <c r="AS73" i="23"/>
  <c r="AR73" i="23"/>
  <c r="AQ73" i="23"/>
  <c r="AP73" i="23"/>
  <c r="AO73" i="23"/>
  <c r="AN73" i="23"/>
  <c r="AM73" i="23"/>
  <c r="AL73" i="23"/>
  <c r="AK73" i="23"/>
  <c r="AJ73" i="23"/>
  <c r="AI73" i="23"/>
  <c r="AH73" i="23"/>
  <c r="AG73" i="23"/>
  <c r="AF73" i="23"/>
  <c r="AE73" i="23"/>
  <c r="AD73" i="23"/>
  <c r="AC73" i="23"/>
  <c r="AB73" i="23"/>
  <c r="J73" i="23"/>
  <c r="L72" i="23"/>
  <c r="K72" i="23"/>
  <c r="J72" i="23"/>
  <c r="L66" i="23"/>
  <c r="L64" i="23"/>
  <c r="L63" i="23"/>
  <c r="L62" i="23"/>
  <c r="L61" i="23"/>
  <c r="L60" i="23"/>
  <c r="L59" i="23"/>
  <c r="L58" i="23"/>
  <c r="L57" i="23"/>
  <c r="L56" i="23"/>
  <c r="L55" i="23"/>
  <c r="L54" i="23"/>
  <c r="L53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L51" i="23"/>
  <c r="L50" i="23"/>
  <c r="AX48" i="23"/>
  <c r="AW48" i="23"/>
  <c r="AV48" i="23"/>
  <c r="AU48" i="23"/>
  <c r="AT48" i="23"/>
  <c r="AS48" i="23"/>
  <c r="AR48" i="23"/>
  <c r="AQ48" i="23"/>
  <c r="AP48" i="23"/>
  <c r="AO48" i="23"/>
  <c r="AN48" i="23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L48" i="23"/>
  <c r="B48" i="23"/>
  <c r="AL47" i="23"/>
  <c r="AK47" i="23"/>
  <c r="AJ47" i="23"/>
  <c r="AI47" i="23"/>
  <c r="AH47" i="23"/>
  <c r="AG47" i="23"/>
  <c r="AF47" i="23"/>
  <c r="AE47" i="23"/>
  <c r="AD47" i="23"/>
  <c r="AC47" i="23"/>
  <c r="AB47" i="23"/>
  <c r="AA47" i="23"/>
  <c r="J47" i="23"/>
  <c r="AX46" i="23"/>
  <c r="AW46" i="23"/>
  <c r="AV46" i="23"/>
  <c r="AU46" i="23"/>
  <c r="AT46" i="23"/>
  <c r="AS46" i="23"/>
  <c r="AR46" i="23"/>
  <c r="AQ46" i="23"/>
  <c r="AP46" i="23"/>
  <c r="AO46" i="23"/>
  <c r="AN46" i="23"/>
  <c r="AM46" i="23"/>
  <c r="AK46" i="23"/>
  <c r="AJ46" i="23"/>
  <c r="AI46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V77" i="23" s="1"/>
  <c r="U46" i="23"/>
  <c r="T46" i="23"/>
  <c r="S46" i="23"/>
  <c r="R46" i="23"/>
  <c r="Q46" i="23"/>
  <c r="B46" i="23"/>
  <c r="AX44" i="23"/>
  <c r="AW44" i="23"/>
  <c r="AV44" i="23"/>
  <c r="AU44" i="23"/>
  <c r="AT44" i="23"/>
  <c r="AS44" i="23"/>
  <c r="AR44" i="23"/>
  <c r="AQ44" i="23"/>
  <c r="AP44" i="23"/>
  <c r="AO44" i="23"/>
  <c r="AN44" i="23"/>
  <c r="AM44" i="23"/>
  <c r="AL44" i="23"/>
  <c r="AK44" i="23"/>
  <c r="AJ44" i="23"/>
  <c r="AI44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G44" i="23"/>
  <c r="F44" i="23"/>
  <c r="E44" i="23"/>
  <c r="E78" i="23" s="1"/>
  <c r="L43" i="23"/>
  <c r="K43" i="23"/>
  <c r="J43" i="23"/>
  <c r="O39" i="23"/>
  <c r="P39" i="23" s="1"/>
  <c r="Q39" i="23" s="1"/>
  <c r="R39" i="23" s="1"/>
  <c r="S39" i="23" s="1"/>
  <c r="T39" i="23" s="1"/>
  <c r="U39" i="23" s="1"/>
  <c r="V39" i="23" s="1"/>
  <c r="W39" i="23" s="1"/>
  <c r="X39" i="23" s="1"/>
  <c r="Y39" i="23" s="1"/>
  <c r="Z39" i="23" s="1"/>
  <c r="AA39" i="23" s="1"/>
  <c r="AB39" i="23" s="1"/>
  <c r="AC39" i="23" s="1"/>
  <c r="AD39" i="23" s="1"/>
  <c r="AE39" i="23" s="1"/>
  <c r="AF39" i="23" s="1"/>
  <c r="AG39" i="23" s="1"/>
  <c r="AH39" i="23" s="1"/>
  <c r="AI39" i="23" s="1"/>
  <c r="AJ39" i="23" s="1"/>
  <c r="AK39" i="23" s="1"/>
  <c r="AL39" i="23" s="1"/>
  <c r="AM39" i="23" s="1"/>
  <c r="AN39" i="23" s="1"/>
  <c r="AO39" i="23" s="1"/>
  <c r="AP39" i="23" s="1"/>
  <c r="AQ39" i="23" s="1"/>
  <c r="AR39" i="23" s="1"/>
  <c r="AS39" i="23" s="1"/>
  <c r="AT39" i="23" s="1"/>
  <c r="AU39" i="23" s="1"/>
  <c r="AV39" i="23" s="1"/>
  <c r="AW39" i="23" s="1"/>
  <c r="AX39" i="23" s="1"/>
  <c r="AX36" i="23"/>
  <c r="AW36" i="23"/>
  <c r="AV36" i="23"/>
  <c r="AU36" i="23"/>
  <c r="AT36" i="23"/>
  <c r="AS36" i="23"/>
  <c r="AR36" i="23"/>
  <c r="AQ36" i="23"/>
  <c r="AP36" i="23"/>
  <c r="AO36" i="23"/>
  <c r="AN36" i="23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O36" i="23"/>
  <c r="G36" i="23"/>
  <c r="F36" i="23"/>
  <c r="E36" i="23"/>
  <c r="L35" i="23"/>
  <c r="AA34" i="23"/>
  <c r="AA36" i="23" s="1"/>
  <c r="Z34" i="23"/>
  <c r="Y34" i="23"/>
  <c r="X34" i="23"/>
  <c r="W34" i="23"/>
  <c r="V34" i="23"/>
  <c r="U34" i="23"/>
  <c r="T34" i="23"/>
  <c r="S34" i="23"/>
  <c r="R34" i="23"/>
  <c r="Q34" i="23"/>
  <c r="Q36" i="23" s="1"/>
  <c r="P34" i="23"/>
  <c r="P36" i="23" s="1"/>
  <c r="L34" i="23"/>
  <c r="Z33" i="23"/>
  <c r="Y33" i="23"/>
  <c r="X33" i="23"/>
  <c r="W33" i="23"/>
  <c r="W36" i="23" s="1"/>
  <c r="V33" i="23"/>
  <c r="U33" i="23"/>
  <c r="T33" i="23"/>
  <c r="T36" i="23" s="1"/>
  <c r="S33" i="23"/>
  <c r="R33" i="23"/>
  <c r="L33" i="23"/>
  <c r="L32" i="23"/>
  <c r="L31" i="23"/>
  <c r="L30" i="23"/>
  <c r="K30" i="23"/>
  <c r="J30" i="23"/>
  <c r="L29" i="23"/>
  <c r="K29" i="23"/>
  <c r="J29" i="23"/>
  <c r="L28" i="23"/>
  <c r="K28" i="23"/>
  <c r="J28" i="23"/>
  <c r="L27" i="23"/>
  <c r="K27" i="23"/>
  <c r="J27" i="23"/>
  <c r="L26" i="23"/>
  <c r="K26" i="23"/>
  <c r="J26" i="23"/>
  <c r="L24" i="23"/>
  <c r="L21" i="23"/>
  <c r="L20" i="23"/>
  <c r="AX16" i="23"/>
  <c r="AX37" i="23" s="1"/>
  <c r="AW16" i="23"/>
  <c r="AW37" i="23" s="1"/>
  <c r="AV16" i="23"/>
  <c r="AU16" i="23"/>
  <c r="AT16" i="23"/>
  <c r="AS16" i="23"/>
  <c r="AR16" i="23"/>
  <c r="AQ16" i="23"/>
  <c r="AP16" i="23"/>
  <c r="AP37" i="23" s="1"/>
  <c r="AO16" i="23"/>
  <c r="AO37" i="23" s="1"/>
  <c r="AN16" i="23"/>
  <c r="AM16" i="23"/>
  <c r="AL16" i="23"/>
  <c r="AK16" i="23"/>
  <c r="AJ16" i="23"/>
  <c r="AI16" i="23"/>
  <c r="AH16" i="23"/>
  <c r="AH37" i="23" s="1"/>
  <c r="AG16" i="23"/>
  <c r="AG37" i="23" s="1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L15" i="23"/>
  <c r="K15" i="23"/>
  <c r="J15" i="23"/>
  <c r="K11" i="23"/>
  <c r="J11" i="23"/>
  <c r="H17" i="20"/>
  <c r="H27" i="20" s="1"/>
  <c r="G34" i="20"/>
  <c r="D34" i="20" s="1"/>
  <c r="D48" i="20" s="1"/>
  <c r="G17" i="20"/>
  <c r="D17" i="20" s="1"/>
  <c r="G16" i="20"/>
  <c r="D16" i="20" s="1"/>
  <c r="G43" i="8"/>
  <c r="F43" i="8"/>
  <c r="E43" i="8"/>
  <c r="E16" i="8"/>
  <c r="G36" i="8"/>
  <c r="F34" i="20"/>
  <c r="F33" i="20"/>
  <c r="F15" i="20"/>
  <c r="F17" i="20"/>
  <c r="E75" i="8"/>
  <c r="E36" i="8"/>
  <c r="L47" i="8"/>
  <c r="K45" i="8"/>
  <c r="I30" i="18"/>
  <c r="H76" i="8" l="1"/>
  <c r="D27" i="24"/>
  <c r="D50" i="24" s="1"/>
  <c r="F16" i="8"/>
  <c r="F37" i="8" s="1"/>
  <c r="F75" i="8"/>
  <c r="F76" i="8" s="1"/>
  <c r="G15" i="20"/>
  <c r="D15" i="20" s="1"/>
  <c r="D27" i="20" s="1"/>
  <c r="D50" i="20" s="1"/>
  <c r="G27" i="24"/>
  <c r="F27" i="24"/>
  <c r="I50" i="20"/>
  <c r="AQ37" i="23"/>
  <c r="AM37" i="23"/>
  <c r="R36" i="23"/>
  <c r="R37" i="23" s="1"/>
  <c r="Z36" i="23"/>
  <c r="Z37" i="23" s="1"/>
  <c r="F78" i="23"/>
  <c r="S36" i="23"/>
  <c r="S37" i="23" s="1"/>
  <c r="J16" i="23"/>
  <c r="AB37" i="23"/>
  <c r="AJ37" i="23"/>
  <c r="AR37" i="23"/>
  <c r="V78" i="23"/>
  <c r="K52" i="23"/>
  <c r="T77" i="23"/>
  <c r="T78" i="23" s="1"/>
  <c r="O37" i="23"/>
  <c r="AU37" i="23"/>
  <c r="Y36" i="23"/>
  <c r="Y37" i="23" s="1"/>
  <c r="AN37" i="23"/>
  <c r="AV37" i="23"/>
  <c r="L36" i="23"/>
  <c r="L37" i="23" s="1"/>
  <c r="J52" i="23"/>
  <c r="K73" i="23"/>
  <c r="Q77" i="23"/>
  <c r="Q78" i="23" s="1"/>
  <c r="AL77" i="23"/>
  <c r="AL78" i="23" s="1"/>
  <c r="AX77" i="23"/>
  <c r="AX78" i="23" s="1"/>
  <c r="AX80" i="23" s="1"/>
  <c r="E37" i="23"/>
  <c r="J33" i="23"/>
  <c r="AE37" i="23"/>
  <c r="R77" i="23"/>
  <c r="R78" i="23" s="1"/>
  <c r="Z77" i="23"/>
  <c r="Z78" i="23" s="1"/>
  <c r="AH77" i="23"/>
  <c r="AH78" i="23" s="1"/>
  <c r="AH80" i="23" s="1"/>
  <c r="F37" i="23"/>
  <c r="G37" i="23"/>
  <c r="J34" i="23"/>
  <c r="J46" i="23"/>
  <c r="AI77" i="23"/>
  <c r="AI78" i="23" s="1"/>
  <c r="L73" i="23"/>
  <c r="U36" i="23"/>
  <c r="U37" i="23" s="1"/>
  <c r="K34" i="23"/>
  <c r="K36" i="23" s="1"/>
  <c r="P78" i="23"/>
  <c r="AT77" i="23"/>
  <c r="AT78" i="23" s="1"/>
  <c r="X77" i="23"/>
  <c r="X78" i="23" s="1"/>
  <c r="Q37" i="23"/>
  <c r="AP77" i="23"/>
  <c r="AP78" i="23" s="1"/>
  <c r="AP80" i="23" s="1"/>
  <c r="AW77" i="23"/>
  <c r="AW78" i="23" s="1"/>
  <c r="AW80" i="23" s="1"/>
  <c r="AS37" i="23"/>
  <c r="V36" i="23"/>
  <c r="V37" i="23" s="1"/>
  <c r="AD37" i="23"/>
  <c r="AL37" i="23"/>
  <c r="AT37" i="23"/>
  <c r="W37" i="23"/>
  <c r="AD77" i="23"/>
  <c r="AD78" i="23" s="1"/>
  <c r="AM77" i="23"/>
  <c r="AM78" i="23" s="1"/>
  <c r="AU77" i="23"/>
  <c r="AU78" i="23" s="1"/>
  <c r="K48" i="23"/>
  <c r="AR77" i="23"/>
  <c r="AR78" i="23" s="1"/>
  <c r="G78" i="23"/>
  <c r="AA77" i="23"/>
  <c r="AA78" i="23" s="1"/>
  <c r="AC37" i="23"/>
  <c r="X36" i="23"/>
  <c r="X37" i="23" s="1"/>
  <c r="W77" i="23"/>
  <c r="W78" i="23" s="1"/>
  <c r="W80" i="23" s="1"/>
  <c r="AN77" i="23"/>
  <c r="AN78" i="23" s="1"/>
  <c r="AV77" i="23"/>
  <c r="AV78" i="23" s="1"/>
  <c r="T37" i="23"/>
  <c r="AK37" i="23"/>
  <c r="AJ77" i="23"/>
  <c r="AJ78" i="23" s="1"/>
  <c r="AI37" i="23"/>
  <c r="AF77" i="23"/>
  <c r="AF78" i="23" s="1"/>
  <c r="AF37" i="23"/>
  <c r="AE77" i="23"/>
  <c r="AE78" i="23" s="1"/>
  <c r="AA37" i="23"/>
  <c r="K16" i="23"/>
  <c r="K76" i="23"/>
  <c r="J76" i="23"/>
  <c r="J77" i="23" s="1"/>
  <c r="J78" i="23" s="1"/>
  <c r="O77" i="23"/>
  <c r="O78" i="23" s="1"/>
  <c r="L76" i="23"/>
  <c r="S77" i="23"/>
  <c r="S78" i="23" s="1"/>
  <c r="AQ77" i="23"/>
  <c r="AQ78" i="23" s="1"/>
  <c r="AG77" i="23"/>
  <c r="AG78" i="23" s="1"/>
  <c r="AG80" i="23" s="1"/>
  <c r="AO77" i="23"/>
  <c r="AO78" i="23" s="1"/>
  <c r="AO80" i="23" s="1"/>
  <c r="P37" i="23"/>
  <c r="U77" i="23"/>
  <c r="U78" i="23" s="1"/>
  <c r="AC77" i="23"/>
  <c r="AC78" i="23" s="1"/>
  <c r="AK77" i="23"/>
  <c r="AK78" i="23" s="1"/>
  <c r="AS77" i="23"/>
  <c r="AS78" i="23" s="1"/>
  <c r="Y77" i="23"/>
  <c r="Y78" i="23" s="1"/>
  <c r="AB77" i="23"/>
  <c r="AB78" i="23" s="1"/>
  <c r="E76" i="8"/>
  <c r="E37" i="8"/>
  <c r="G37" i="8"/>
  <c r="G74" i="18"/>
  <c r="L71" i="18"/>
  <c r="L70" i="18"/>
  <c r="K69" i="18"/>
  <c r="K74" i="18" s="1"/>
  <c r="J69" i="18"/>
  <c r="L69" i="18" s="1"/>
  <c r="I69" i="18"/>
  <c r="I74" i="18" s="1"/>
  <c r="H69" i="18"/>
  <c r="H74" i="18" s="1"/>
  <c r="K68" i="18"/>
  <c r="J68" i="18"/>
  <c r="I68" i="18"/>
  <c r="L68" i="18" s="1"/>
  <c r="H68" i="18"/>
  <c r="L67" i="18"/>
  <c r="H66" i="18"/>
  <c r="L66" i="18" s="1"/>
  <c r="L65" i="18"/>
  <c r="G65" i="18"/>
  <c r="L64" i="18"/>
  <c r="G64" i="18"/>
  <c r="L63" i="18"/>
  <c r="G63" i="18"/>
  <c r="L62" i="18"/>
  <c r="G62" i="18"/>
  <c r="L61" i="18"/>
  <c r="G61" i="18"/>
  <c r="L60" i="18"/>
  <c r="G60" i="18"/>
  <c r="L59" i="18"/>
  <c r="G59" i="18"/>
  <c r="L58" i="18"/>
  <c r="G58" i="18"/>
  <c r="L57" i="18"/>
  <c r="G57" i="18"/>
  <c r="L56" i="18"/>
  <c r="G56" i="18"/>
  <c r="L55" i="18"/>
  <c r="G55" i="18"/>
  <c r="L54" i="18"/>
  <c r="L53" i="18"/>
  <c r="K52" i="18"/>
  <c r="L52" i="18" s="1"/>
  <c r="L51" i="18"/>
  <c r="L50" i="18"/>
  <c r="J50" i="18"/>
  <c r="L49" i="18"/>
  <c r="J49" i="18"/>
  <c r="K48" i="18"/>
  <c r="J48" i="18"/>
  <c r="L48" i="18" s="1"/>
  <c r="I48" i="18"/>
  <c r="H48" i="18"/>
  <c r="K47" i="18"/>
  <c r="L47" i="18" s="1"/>
  <c r="B47" i="18"/>
  <c r="K46" i="18"/>
  <c r="J46" i="18"/>
  <c r="L46" i="18" s="1"/>
  <c r="I46" i="18"/>
  <c r="H46" i="18"/>
  <c r="L45" i="18"/>
  <c r="B45" i="18"/>
  <c r="L44" i="18"/>
  <c r="L43" i="18"/>
  <c r="L42" i="18"/>
  <c r="G42" i="18"/>
  <c r="K41" i="18"/>
  <c r="I41" i="18"/>
  <c r="L41" i="18" s="1"/>
  <c r="L40" i="18"/>
  <c r="L39" i="18"/>
  <c r="L38" i="18"/>
  <c r="G37" i="18"/>
  <c r="G75" i="18" s="1"/>
  <c r="G76" i="18" s="1"/>
  <c r="G78" i="18" s="1"/>
  <c r="K34" i="18"/>
  <c r="J34" i="18"/>
  <c r="J37" i="18" s="1"/>
  <c r="I34" i="18"/>
  <c r="L34" i="18" s="1"/>
  <c r="H34" i="18"/>
  <c r="K33" i="18"/>
  <c r="J33" i="18"/>
  <c r="I33" i="18"/>
  <c r="L33" i="18" s="1"/>
  <c r="H33" i="18"/>
  <c r="H37" i="18" s="1"/>
  <c r="L31" i="18"/>
  <c r="L30" i="18"/>
  <c r="L29" i="18"/>
  <c r="G29" i="18"/>
  <c r="L28" i="18"/>
  <c r="G28" i="18"/>
  <c r="L27" i="18"/>
  <c r="G27" i="18"/>
  <c r="L26" i="18"/>
  <c r="G26" i="18"/>
  <c r="L25" i="18"/>
  <c r="G25" i="18"/>
  <c r="L24" i="18"/>
  <c r="K24" i="18"/>
  <c r="K23" i="18"/>
  <c r="J23" i="18"/>
  <c r="L23" i="18" s="1"/>
  <c r="I23" i="18"/>
  <c r="H23" i="18"/>
  <c r="K22" i="18"/>
  <c r="K37" i="18" s="1"/>
  <c r="J22" i="18"/>
  <c r="I22" i="18"/>
  <c r="L22" i="18" s="1"/>
  <c r="H22" i="18"/>
  <c r="K21" i="18"/>
  <c r="J21" i="18"/>
  <c r="I21" i="18"/>
  <c r="H21" i="18"/>
  <c r="L21" i="18" s="1"/>
  <c r="K20" i="18"/>
  <c r="J20" i="18"/>
  <c r="I20" i="18"/>
  <c r="L20" i="18" s="1"/>
  <c r="H20" i="18"/>
  <c r="L19" i="18"/>
  <c r="K18" i="18"/>
  <c r="J18" i="18"/>
  <c r="I18" i="18"/>
  <c r="L18" i="18" s="1"/>
  <c r="H18" i="18"/>
  <c r="L17" i="18"/>
  <c r="L16" i="18"/>
  <c r="G16" i="18"/>
  <c r="L15" i="18"/>
  <c r="G15" i="18"/>
  <c r="L14" i="18"/>
  <c r="K14" i="18"/>
  <c r="I14" i="18"/>
  <c r="L13" i="18"/>
  <c r="L12" i="18"/>
  <c r="L11" i="18"/>
  <c r="I71" i="17"/>
  <c r="F71" i="17"/>
  <c r="K70" i="17"/>
  <c r="K69" i="17"/>
  <c r="G68" i="17"/>
  <c r="G71" i="17" s="1"/>
  <c r="K67" i="17"/>
  <c r="G67" i="17"/>
  <c r="G66" i="17"/>
  <c r="K66" i="17" s="1"/>
  <c r="K65" i="17"/>
  <c r="G65" i="17"/>
  <c r="K64" i="17"/>
  <c r="G63" i="17"/>
  <c r="K63" i="17" s="1"/>
  <c r="F63" i="17"/>
  <c r="F62" i="17"/>
  <c r="G62" i="17" s="1"/>
  <c r="K62" i="17" s="1"/>
  <c r="F61" i="17"/>
  <c r="G61" i="17" s="1"/>
  <c r="K61" i="17" s="1"/>
  <c r="K60" i="17"/>
  <c r="G60" i="17"/>
  <c r="F60" i="17"/>
  <c r="G59" i="17"/>
  <c r="K59" i="17" s="1"/>
  <c r="F59" i="17"/>
  <c r="F58" i="17"/>
  <c r="G58" i="17" s="1"/>
  <c r="K58" i="17" s="1"/>
  <c r="F57" i="17"/>
  <c r="G57" i="17" s="1"/>
  <c r="K57" i="17" s="1"/>
  <c r="K56" i="17"/>
  <c r="G56" i="17"/>
  <c r="F56" i="17"/>
  <c r="G55" i="17"/>
  <c r="K55" i="17" s="1"/>
  <c r="F55" i="17"/>
  <c r="G54" i="17"/>
  <c r="K54" i="17" s="1"/>
  <c r="F54" i="17"/>
  <c r="F53" i="17"/>
  <c r="G53" i="17" s="1"/>
  <c r="K53" i="17" s="1"/>
  <c r="K52" i="17"/>
  <c r="G52" i="17"/>
  <c r="G51" i="17"/>
  <c r="K51" i="17" s="1"/>
  <c r="K50" i="17"/>
  <c r="H50" i="17"/>
  <c r="H71" i="17" s="1"/>
  <c r="K49" i="17"/>
  <c r="G48" i="17"/>
  <c r="K48" i="17" s="1"/>
  <c r="K47" i="17"/>
  <c r="J47" i="17"/>
  <c r="J71" i="17" s="1"/>
  <c r="B47" i="17"/>
  <c r="K46" i="17"/>
  <c r="K45" i="17"/>
  <c r="B45" i="17"/>
  <c r="K44" i="17"/>
  <c r="K43" i="17"/>
  <c r="K42" i="17"/>
  <c r="F42" i="17"/>
  <c r="K41" i="17"/>
  <c r="K40" i="17"/>
  <c r="K39" i="17"/>
  <c r="K38" i="17"/>
  <c r="J37" i="17"/>
  <c r="J72" i="17" s="1"/>
  <c r="I37" i="17"/>
  <c r="I72" i="17" s="1"/>
  <c r="I73" i="17" s="1"/>
  <c r="G37" i="17"/>
  <c r="G72" i="17" s="1"/>
  <c r="G73" i="17" s="1"/>
  <c r="F37" i="17"/>
  <c r="F72" i="17" s="1"/>
  <c r="F73" i="17" s="1"/>
  <c r="F75" i="17" s="1"/>
  <c r="K36" i="17"/>
  <c r="K35" i="17"/>
  <c r="G35" i="17"/>
  <c r="K34" i="17"/>
  <c r="J34" i="17"/>
  <c r="G34" i="17"/>
  <c r="K33" i="17"/>
  <c r="G33" i="17"/>
  <c r="K32" i="17"/>
  <c r="K31" i="17"/>
  <c r="G31" i="17"/>
  <c r="K30" i="17"/>
  <c r="H30" i="17"/>
  <c r="H37" i="17" s="1"/>
  <c r="H72" i="17" s="1"/>
  <c r="H73" i="17" s="1"/>
  <c r="K29" i="17"/>
  <c r="F29" i="17"/>
  <c r="K28" i="17"/>
  <c r="F28" i="17"/>
  <c r="K27" i="17"/>
  <c r="F27" i="17"/>
  <c r="K26" i="17"/>
  <c r="F26" i="17"/>
  <c r="K25" i="17"/>
  <c r="F25" i="17"/>
  <c r="K24" i="17"/>
  <c r="J24" i="17"/>
  <c r="K23" i="17"/>
  <c r="K22" i="17"/>
  <c r="K21" i="17"/>
  <c r="K20" i="17"/>
  <c r="G20" i="17"/>
  <c r="K19" i="17"/>
  <c r="K18" i="17"/>
  <c r="K17" i="17"/>
  <c r="K16" i="17"/>
  <c r="F16" i="17"/>
  <c r="K15" i="17"/>
  <c r="F15" i="17"/>
  <c r="K14" i="17"/>
  <c r="K13" i="17"/>
  <c r="K12" i="17"/>
  <c r="K11" i="17"/>
  <c r="AV80" i="23" l="1"/>
  <c r="AR80" i="23"/>
  <c r="AM80" i="23"/>
  <c r="O80" i="23"/>
  <c r="O82" i="23" s="1"/>
  <c r="K77" i="23"/>
  <c r="K78" i="23" s="1"/>
  <c r="AQ80" i="23"/>
  <c r="J36" i="23"/>
  <c r="J37" i="23" s="1"/>
  <c r="J80" i="23" s="1"/>
  <c r="J82" i="23" s="1"/>
  <c r="AN80" i="23"/>
  <c r="AU80" i="23"/>
  <c r="Q80" i="23"/>
  <c r="AD80" i="23"/>
  <c r="P80" i="23"/>
  <c r="V80" i="23"/>
  <c r="AT80" i="23"/>
  <c r="Z80" i="23"/>
  <c r="AB80" i="23"/>
  <c r="R80" i="23"/>
  <c r="AJ80" i="23"/>
  <c r="Y80" i="23"/>
  <c r="AE80" i="23"/>
  <c r="AS80" i="23"/>
  <c r="AC80" i="23"/>
  <c r="X80" i="23"/>
  <c r="L77" i="23"/>
  <c r="L78" i="23" s="1"/>
  <c r="L80" i="23" s="1"/>
  <c r="AL80" i="23"/>
  <c r="AK80" i="23"/>
  <c r="AF80" i="23"/>
  <c r="AA80" i="23"/>
  <c r="T80" i="23"/>
  <c r="AI80" i="23"/>
  <c r="K37" i="23"/>
  <c r="K80" i="23" s="1"/>
  <c r="K82" i="23" s="1"/>
  <c r="U80" i="23"/>
  <c r="S80" i="23"/>
  <c r="K75" i="18"/>
  <c r="K76" i="18" s="1"/>
  <c r="L37" i="18"/>
  <c r="L74" i="18"/>
  <c r="H75" i="18"/>
  <c r="H76" i="18" s="1"/>
  <c r="J74" i="18"/>
  <c r="J75" i="18" s="1"/>
  <c r="J76" i="18" s="1"/>
  <c r="I37" i="18"/>
  <c r="I75" i="18" s="1"/>
  <c r="K71" i="17"/>
  <c r="J73" i="17"/>
  <c r="K73" i="17" s="1"/>
  <c r="K72" i="17"/>
  <c r="K37" i="17"/>
  <c r="K68" i="17"/>
  <c r="P82" i="23" l="1"/>
  <c r="Q82" i="23" s="1"/>
  <c r="R82" i="23" s="1"/>
  <c r="S82" i="23" s="1"/>
  <c r="T82" i="23" s="1"/>
  <c r="U82" i="23" s="1"/>
  <c r="V82" i="23" s="1"/>
  <c r="W82" i="23" s="1"/>
  <c r="X82" i="23" s="1"/>
  <c r="Y82" i="23" s="1"/>
  <c r="Z82" i="23" s="1"/>
  <c r="AA82" i="23" s="1"/>
  <c r="AB82" i="23" s="1"/>
  <c r="AC82" i="23" s="1"/>
  <c r="AD82" i="23" s="1"/>
  <c r="AE82" i="23" s="1"/>
  <c r="AF82" i="23" s="1"/>
  <c r="AG82" i="23" s="1"/>
  <c r="AH82" i="23" s="1"/>
  <c r="AI82" i="23" s="1"/>
  <c r="AJ82" i="23" s="1"/>
  <c r="AK82" i="23" s="1"/>
  <c r="AL82" i="23" s="1"/>
  <c r="AM82" i="23" s="1"/>
  <c r="AN82" i="23" s="1"/>
  <c r="AO82" i="23" s="1"/>
  <c r="AP82" i="23" s="1"/>
  <c r="AQ82" i="23" s="1"/>
  <c r="AR82" i="23" s="1"/>
  <c r="AS82" i="23" s="1"/>
  <c r="AT82" i="23" s="1"/>
  <c r="AU82" i="23" s="1"/>
  <c r="AV82" i="23" s="1"/>
  <c r="AW82" i="23" s="1"/>
  <c r="AX82" i="23" s="1"/>
  <c r="I76" i="18"/>
  <c r="L76" i="18" s="1"/>
  <c r="L75" i="18"/>
  <c r="L82" i="23" l="1"/>
  <c r="L70" i="8"/>
  <c r="L63" i="8"/>
  <c r="L62" i="8"/>
  <c r="L61" i="8"/>
  <c r="L60" i="8"/>
  <c r="L59" i="8"/>
  <c r="L58" i="8"/>
  <c r="L57" i="8"/>
  <c r="L56" i="8"/>
  <c r="L55" i="8"/>
  <c r="L54" i="8"/>
  <c r="L53" i="8"/>
  <c r="L52" i="8"/>
  <c r="L44" i="8"/>
  <c r="L42" i="8"/>
  <c r="L41" i="8"/>
  <c r="L40" i="8"/>
  <c r="L35" i="8"/>
  <c r="L34" i="8"/>
  <c r="L33" i="8"/>
  <c r="L32" i="8"/>
  <c r="L31" i="8"/>
  <c r="L30" i="8"/>
  <c r="L29" i="8"/>
  <c r="L28" i="8"/>
  <c r="L27" i="8"/>
  <c r="L26" i="8"/>
  <c r="L24" i="8"/>
  <c r="L21" i="8"/>
  <c r="L20" i="8"/>
  <c r="L17" i="8"/>
  <c r="L15" i="8"/>
  <c r="L14" i="8"/>
  <c r="L13" i="8"/>
  <c r="L12" i="8"/>
  <c r="K70" i="8"/>
  <c r="L11" i="8"/>
  <c r="L38" i="8"/>
  <c r="L16" i="8" l="1"/>
  <c r="L36" i="8"/>
  <c r="L37" i="8" l="1"/>
  <c r="K67" i="8"/>
  <c r="AB51" i="8"/>
  <c r="AC51" i="8"/>
  <c r="AD51" i="8"/>
  <c r="AE51" i="8"/>
  <c r="AF51" i="8"/>
  <c r="AG51" i="8"/>
  <c r="AH51" i="8"/>
  <c r="AA51" i="8"/>
  <c r="K68" i="8"/>
  <c r="K69" i="8"/>
  <c r="AB46" i="8"/>
  <c r="AC46" i="8"/>
  <c r="AD46" i="8"/>
  <c r="AE46" i="8"/>
  <c r="AF46" i="8"/>
  <c r="AG46" i="8"/>
  <c r="AH46" i="8"/>
  <c r="AI46" i="8"/>
  <c r="AJ46" i="8"/>
  <c r="AK46" i="8"/>
  <c r="AL46" i="8"/>
  <c r="AA46" i="8"/>
  <c r="AA45" i="8"/>
  <c r="AD45" i="8"/>
  <c r="AE45" i="8"/>
  <c r="AF45" i="8"/>
  <c r="AG45" i="8"/>
  <c r="AH45" i="8"/>
  <c r="AI45" i="8"/>
  <c r="AJ45" i="8"/>
  <c r="AK45" i="8"/>
  <c r="AL45" i="8"/>
  <c r="AC45" i="8"/>
  <c r="AB45" i="8"/>
  <c r="K19" i="8"/>
  <c r="X51" i="8"/>
  <c r="Y51" i="8"/>
  <c r="Z51" i="8"/>
  <c r="W51" i="8"/>
  <c r="Y47" i="8" l="1"/>
  <c r="Z47" i="8"/>
  <c r="X47" i="8"/>
  <c r="Y45" i="8"/>
  <c r="Z45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R33" i="8"/>
  <c r="S33" i="8"/>
  <c r="T33" i="8"/>
  <c r="U33" i="8"/>
  <c r="V33" i="8"/>
  <c r="W33" i="8"/>
  <c r="X33" i="8"/>
  <c r="Y33" i="8"/>
  <c r="Z33" i="8"/>
  <c r="P34" i="8"/>
  <c r="P36" i="8" s="1"/>
  <c r="Q34" i="8"/>
  <c r="Q36" i="8" s="1"/>
  <c r="R34" i="8"/>
  <c r="S34" i="8"/>
  <c r="T34" i="8"/>
  <c r="U34" i="8"/>
  <c r="V34" i="8"/>
  <c r="W34" i="8"/>
  <c r="X34" i="8"/>
  <c r="Y34" i="8"/>
  <c r="Z34" i="8"/>
  <c r="AA34" i="8"/>
  <c r="AA36" i="8" s="1"/>
  <c r="O36" i="8"/>
  <c r="AB36" i="8"/>
  <c r="AC36" i="8"/>
  <c r="AC37" i="8" s="1"/>
  <c r="AD36" i="8"/>
  <c r="AE36" i="8"/>
  <c r="AF36" i="8"/>
  <c r="AG36" i="8"/>
  <c r="AH36" i="8"/>
  <c r="AI36" i="8"/>
  <c r="AI37" i="8" s="1"/>
  <c r="AJ36" i="8"/>
  <c r="AK36" i="8"/>
  <c r="AK37" i="8" s="1"/>
  <c r="AL36" i="8"/>
  <c r="AM36" i="8"/>
  <c r="AN36" i="8"/>
  <c r="AO36" i="8"/>
  <c r="AP36" i="8"/>
  <c r="AQ36" i="8"/>
  <c r="AQ37" i="8" s="1"/>
  <c r="AR36" i="8"/>
  <c r="AS36" i="8"/>
  <c r="AS37" i="8" s="1"/>
  <c r="AT36" i="8"/>
  <c r="AU36" i="8"/>
  <c r="AV36" i="8"/>
  <c r="AW36" i="8"/>
  <c r="AX36" i="8"/>
  <c r="O39" i="8"/>
  <c r="P39" i="8" s="1"/>
  <c r="Q39" i="8" s="1"/>
  <c r="R39" i="8" s="1"/>
  <c r="S39" i="8" s="1"/>
  <c r="T39" i="8" s="1"/>
  <c r="U39" i="8" s="1"/>
  <c r="V39" i="8" s="1"/>
  <c r="W39" i="8" s="1"/>
  <c r="X39" i="8" s="1"/>
  <c r="Y39" i="8" s="1"/>
  <c r="Z39" i="8" s="1"/>
  <c r="AA39" i="8" s="1"/>
  <c r="AB39" i="8" s="1"/>
  <c r="AC39" i="8" s="1"/>
  <c r="AD39" i="8" s="1"/>
  <c r="AE39" i="8" s="1"/>
  <c r="AF39" i="8" s="1"/>
  <c r="AG39" i="8" s="1"/>
  <c r="AH39" i="8" s="1"/>
  <c r="AI39" i="8" s="1"/>
  <c r="AJ39" i="8" s="1"/>
  <c r="AK39" i="8" s="1"/>
  <c r="AL39" i="8" s="1"/>
  <c r="AM39" i="8" s="1"/>
  <c r="AN39" i="8" s="1"/>
  <c r="AO39" i="8" s="1"/>
  <c r="AP39" i="8" s="1"/>
  <c r="AQ39" i="8" s="1"/>
  <c r="AR39" i="8" s="1"/>
  <c r="AS39" i="8" s="1"/>
  <c r="AT39" i="8" s="1"/>
  <c r="AU39" i="8" s="1"/>
  <c r="AV39" i="8" s="1"/>
  <c r="AW39" i="8" s="1"/>
  <c r="AX39" i="8" s="1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Q45" i="8"/>
  <c r="R45" i="8"/>
  <c r="S45" i="8"/>
  <c r="T45" i="8"/>
  <c r="U45" i="8"/>
  <c r="V45" i="8"/>
  <c r="W45" i="8"/>
  <c r="X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W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AX47" i="8"/>
  <c r="AB71" i="8"/>
  <c r="AC71" i="8"/>
  <c r="AD71" i="8"/>
  <c r="AE71" i="8"/>
  <c r="AF71" i="8"/>
  <c r="AG71" i="8"/>
  <c r="AH71" i="8"/>
  <c r="AI71" i="8"/>
  <c r="AJ71" i="8"/>
  <c r="AK71" i="8"/>
  <c r="AL71" i="8"/>
  <c r="AM71" i="8"/>
  <c r="AN71" i="8"/>
  <c r="AO71" i="8"/>
  <c r="AP71" i="8"/>
  <c r="AQ71" i="8"/>
  <c r="AR71" i="8"/>
  <c r="AS71" i="8"/>
  <c r="AT71" i="8"/>
  <c r="AU71" i="8"/>
  <c r="AV71" i="8"/>
  <c r="AW71" i="8"/>
  <c r="AX71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O85" i="8"/>
  <c r="P85" i="8" s="1"/>
  <c r="Q85" i="8" s="1"/>
  <c r="R85" i="8" s="1"/>
  <c r="S85" i="8" s="1"/>
  <c r="T85" i="8" s="1"/>
  <c r="U85" i="8" s="1"/>
  <c r="V85" i="8" s="1"/>
  <c r="W85" i="8" s="1"/>
  <c r="X85" i="8" s="1"/>
  <c r="Y85" i="8" s="1"/>
  <c r="Z85" i="8" s="1"/>
  <c r="AA85" i="8" s="1"/>
  <c r="AB85" i="8" s="1"/>
  <c r="AC85" i="8" s="1"/>
  <c r="AD85" i="8" s="1"/>
  <c r="AE85" i="8" s="1"/>
  <c r="AF85" i="8" s="1"/>
  <c r="AG85" i="8" s="1"/>
  <c r="AH85" i="8" s="1"/>
  <c r="AI85" i="8" s="1"/>
  <c r="AJ85" i="8" s="1"/>
  <c r="AK85" i="8" s="1"/>
  <c r="AL85" i="8" s="1"/>
  <c r="AM85" i="8" s="1"/>
  <c r="AN85" i="8" s="1"/>
  <c r="AO85" i="8" s="1"/>
  <c r="AP85" i="8" s="1"/>
  <c r="AQ85" i="8" s="1"/>
  <c r="AR85" i="8" s="1"/>
  <c r="AS85" i="8" s="1"/>
  <c r="AT85" i="8" s="1"/>
  <c r="AU85" i="8" s="1"/>
  <c r="AV85" i="8" s="1"/>
  <c r="AW85" i="8" s="1"/>
  <c r="AX85" i="8" s="1"/>
  <c r="O90" i="8"/>
  <c r="O92" i="8" s="1"/>
  <c r="O74" i="8" s="1"/>
  <c r="O75" i="8" s="1"/>
  <c r="P90" i="8"/>
  <c r="P92" i="8" s="1"/>
  <c r="P74" i="8" s="1"/>
  <c r="P75" i="8" s="1"/>
  <c r="Q90" i="8"/>
  <c r="Q92" i="8" s="1"/>
  <c r="Q74" i="8" s="1"/>
  <c r="Q75" i="8" s="1"/>
  <c r="Q76" i="8" s="1"/>
  <c r="R90" i="8"/>
  <c r="R92" i="8" s="1"/>
  <c r="R74" i="8" s="1"/>
  <c r="S90" i="8"/>
  <c r="S92" i="8" s="1"/>
  <c r="S74" i="8" s="1"/>
  <c r="T90" i="8"/>
  <c r="T92" i="8" s="1"/>
  <c r="T74" i="8" s="1"/>
  <c r="U90" i="8"/>
  <c r="U92" i="8" s="1"/>
  <c r="U74" i="8" s="1"/>
  <c r="V90" i="8"/>
  <c r="V92" i="8" s="1"/>
  <c r="V74" i="8" s="1"/>
  <c r="W90" i="8"/>
  <c r="W92" i="8" s="1"/>
  <c r="W74" i="8" s="1"/>
  <c r="X90" i="8"/>
  <c r="X92" i="8" s="1"/>
  <c r="X74" i="8" s="1"/>
  <c r="Y90" i="8"/>
  <c r="Y92" i="8" s="1"/>
  <c r="Y74" i="8" s="1"/>
  <c r="Z90" i="8"/>
  <c r="Z92" i="8" s="1"/>
  <c r="Z74" i="8" s="1"/>
  <c r="AA90" i="8"/>
  <c r="AA92" i="8" s="1"/>
  <c r="AA74" i="8" s="1"/>
  <c r="AB90" i="8"/>
  <c r="AB92" i="8" s="1"/>
  <c r="AB74" i="8" s="1"/>
  <c r="AC90" i="8"/>
  <c r="AD90" i="8"/>
  <c r="AD92" i="8" s="1"/>
  <c r="AD74" i="8" s="1"/>
  <c r="AE90" i="8"/>
  <c r="AE92" i="8" s="1"/>
  <c r="AE74" i="8" s="1"/>
  <c r="AF90" i="8"/>
  <c r="AF92" i="8" s="1"/>
  <c r="AF74" i="8" s="1"/>
  <c r="AF75" i="8" s="1"/>
  <c r="AG90" i="8"/>
  <c r="AG92" i="8" s="1"/>
  <c r="AG74" i="8" s="1"/>
  <c r="AH90" i="8"/>
  <c r="AH92" i="8" s="1"/>
  <c r="AH74" i="8" s="1"/>
  <c r="AI90" i="8"/>
  <c r="AI92" i="8" s="1"/>
  <c r="AI74" i="8" s="1"/>
  <c r="AJ90" i="8"/>
  <c r="AJ92" i="8" s="1"/>
  <c r="AJ74" i="8" s="1"/>
  <c r="AK90" i="8"/>
  <c r="AL90" i="8"/>
  <c r="AL92" i="8" s="1"/>
  <c r="AL74" i="8" s="1"/>
  <c r="AL75" i="8" s="1"/>
  <c r="AM90" i="8"/>
  <c r="AM92" i="8" s="1"/>
  <c r="AM74" i="8" s="1"/>
  <c r="AN90" i="8"/>
  <c r="AN92" i="8" s="1"/>
  <c r="AN74" i="8" s="1"/>
  <c r="AO90" i="8"/>
  <c r="AO92" i="8" s="1"/>
  <c r="AO74" i="8" s="1"/>
  <c r="AP90" i="8"/>
  <c r="AP92" i="8" s="1"/>
  <c r="AP74" i="8" s="1"/>
  <c r="AQ90" i="8"/>
  <c r="AQ92" i="8" s="1"/>
  <c r="AQ74" i="8" s="1"/>
  <c r="AR90" i="8"/>
  <c r="AR92" i="8" s="1"/>
  <c r="AR74" i="8" s="1"/>
  <c r="AS90" i="8"/>
  <c r="AS92" i="8" s="1"/>
  <c r="AS74" i="8" s="1"/>
  <c r="AT90" i="8"/>
  <c r="AT92" i="8" s="1"/>
  <c r="AT74" i="8" s="1"/>
  <c r="AU90" i="8"/>
  <c r="AU92" i="8" s="1"/>
  <c r="AU74" i="8" s="1"/>
  <c r="AV90" i="8"/>
  <c r="AV92" i="8" s="1"/>
  <c r="AV74" i="8" s="1"/>
  <c r="AW90" i="8"/>
  <c r="AW92" i="8" s="1"/>
  <c r="AW74" i="8" s="1"/>
  <c r="AX90" i="8"/>
  <c r="AX92" i="8" s="1"/>
  <c r="AX74" i="8" s="1"/>
  <c r="O91" i="8"/>
  <c r="AC92" i="8"/>
  <c r="AC74" i="8" s="1"/>
  <c r="AK92" i="8"/>
  <c r="AK74" i="8" s="1"/>
  <c r="O37" i="8" l="1"/>
  <c r="AU37" i="8"/>
  <c r="AM37" i="8"/>
  <c r="AE37" i="8"/>
  <c r="AV75" i="8"/>
  <c r="AV76" i="8" s="1"/>
  <c r="AN75" i="8"/>
  <c r="AN76" i="8" s="1"/>
  <c r="AF76" i="8"/>
  <c r="P76" i="8"/>
  <c r="P79" i="8" s="1"/>
  <c r="AE75" i="8"/>
  <c r="AE76" i="8" s="1"/>
  <c r="AE79" i="8" s="1"/>
  <c r="AR37" i="8"/>
  <c r="AJ37" i="8"/>
  <c r="W36" i="8"/>
  <c r="W37" i="8" s="1"/>
  <c r="AA37" i="8"/>
  <c r="S36" i="8"/>
  <c r="S37" i="8" s="1"/>
  <c r="Z36" i="8"/>
  <c r="Z37" i="8" s="1"/>
  <c r="R36" i="8"/>
  <c r="R37" i="8" s="1"/>
  <c r="T36" i="8"/>
  <c r="T37" i="8" s="1"/>
  <c r="P37" i="8"/>
  <c r="AX37" i="8"/>
  <c r="AP37" i="8"/>
  <c r="AH37" i="8"/>
  <c r="V36" i="8"/>
  <c r="V37" i="8" s="1"/>
  <c r="Y75" i="8"/>
  <c r="Y76" i="8" s="1"/>
  <c r="Y36" i="8"/>
  <c r="Y37" i="8" s="1"/>
  <c r="AO37" i="8"/>
  <c r="U36" i="8"/>
  <c r="U37" i="8" s="1"/>
  <c r="AV37" i="8"/>
  <c r="AN37" i="8"/>
  <c r="AA75" i="8"/>
  <c r="AA76" i="8" s="1"/>
  <c r="K47" i="8"/>
  <c r="X36" i="8"/>
  <c r="X37" i="8" s="1"/>
  <c r="AW37" i="8"/>
  <c r="AQ75" i="8"/>
  <c r="AQ76" i="8" s="1"/>
  <c r="AQ79" i="8" s="1"/>
  <c r="AT37" i="8"/>
  <c r="AL37" i="8"/>
  <c r="Q37" i="8"/>
  <c r="Q79" i="8" s="1"/>
  <c r="AG37" i="8"/>
  <c r="AI75" i="8"/>
  <c r="AI76" i="8" s="1"/>
  <c r="AI79" i="8" s="1"/>
  <c r="S75" i="8"/>
  <c r="S76" i="8" s="1"/>
  <c r="AH75" i="8"/>
  <c r="AH76" i="8" s="1"/>
  <c r="W75" i="8"/>
  <c r="W76" i="8" s="1"/>
  <c r="V75" i="8"/>
  <c r="V76" i="8" s="1"/>
  <c r="AD37" i="8"/>
  <c r="AM75" i="8"/>
  <c r="L74" i="8"/>
  <c r="L71" i="8"/>
  <c r="AP75" i="8"/>
  <c r="AP76" i="8" s="1"/>
  <c r="U75" i="8"/>
  <c r="U76" i="8" s="1"/>
  <c r="AU75" i="8"/>
  <c r="AU76" i="8" s="1"/>
  <c r="AU79" i="8" s="1"/>
  <c r="O76" i="8"/>
  <c r="AR75" i="8"/>
  <c r="AR76" i="8" s="1"/>
  <c r="AR79" i="8" s="1"/>
  <c r="AJ75" i="8"/>
  <c r="AJ76" i="8" s="1"/>
  <c r="AB75" i="8"/>
  <c r="AB76" i="8" s="1"/>
  <c r="T75" i="8"/>
  <c r="T76" i="8" s="1"/>
  <c r="AF37" i="8"/>
  <c r="AF79" i="8" s="1"/>
  <c r="AT75" i="8"/>
  <c r="AT76" i="8" s="1"/>
  <c r="AW75" i="8"/>
  <c r="AW76" i="8" s="1"/>
  <c r="AX75" i="8"/>
  <c r="AX76" i="8" s="1"/>
  <c r="AO75" i="8"/>
  <c r="AO76" i="8" s="1"/>
  <c r="AG75" i="8"/>
  <c r="AG76" i="8" s="1"/>
  <c r="AD75" i="8"/>
  <c r="AD76" i="8" s="1"/>
  <c r="AB37" i="8"/>
  <c r="AL76" i="8"/>
  <c r="X75" i="8"/>
  <c r="X76" i="8" s="1"/>
  <c r="Z75" i="8"/>
  <c r="Z76" i="8" s="1"/>
  <c r="AS75" i="8"/>
  <c r="AS76" i="8" s="1"/>
  <c r="AS79" i="8" s="1"/>
  <c r="AK75" i="8"/>
  <c r="AK76" i="8" s="1"/>
  <c r="AK79" i="8" s="1"/>
  <c r="AC75" i="8"/>
  <c r="AC76" i="8" s="1"/>
  <c r="AC79" i="8" s="1"/>
  <c r="R75" i="8"/>
  <c r="R76" i="8" s="1"/>
  <c r="K35" i="8"/>
  <c r="J35" i="8"/>
  <c r="AN79" i="8" l="1"/>
  <c r="O79" i="8"/>
  <c r="O81" i="8" s="1"/>
  <c r="P81" i="8" s="1"/>
  <c r="Q81" i="8" s="1"/>
  <c r="AW79" i="8"/>
  <c r="AJ79" i="8"/>
  <c r="AV79" i="8"/>
  <c r="Z79" i="8"/>
  <c r="S79" i="8"/>
  <c r="AA79" i="8"/>
  <c r="AH79" i="8"/>
  <c r="AG79" i="8"/>
  <c r="Y79" i="8"/>
  <c r="AP79" i="8"/>
  <c r="U79" i="8"/>
  <c r="R79" i="8"/>
  <c r="W79" i="8"/>
  <c r="AO79" i="8"/>
  <c r="T79" i="8"/>
  <c r="L75" i="8"/>
  <c r="L76" i="8" s="1"/>
  <c r="AX79" i="8"/>
  <c r="AL79" i="8"/>
  <c r="AT79" i="8"/>
  <c r="AB79" i="8"/>
  <c r="X79" i="8"/>
  <c r="V79" i="8"/>
  <c r="AM76" i="8"/>
  <c r="AM79" i="8" s="1"/>
  <c r="AD79" i="8"/>
  <c r="G27" i="20"/>
  <c r="K25" i="8"/>
  <c r="J25" i="8"/>
  <c r="R81" i="8" l="1"/>
  <c r="S81" i="8" s="1"/>
  <c r="T81" i="8" s="1"/>
  <c r="U81" i="8" s="1"/>
  <c r="V81" i="8" s="1"/>
  <c r="W81" i="8" s="1"/>
  <c r="X81" i="8" s="1"/>
  <c r="Y81" i="8" s="1"/>
  <c r="Z81" i="8" s="1"/>
  <c r="AA81" i="8" s="1"/>
  <c r="AB81" i="8" s="1"/>
  <c r="AC81" i="8" s="1"/>
  <c r="AD81" i="8" s="1"/>
  <c r="AE81" i="8" s="1"/>
  <c r="AF81" i="8" s="1"/>
  <c r="AG81" i="8" s="1"/>
  <c r="AH81" i="8" s="1"/>
  <c r="AI81" i="8" s="1"/>
  <c r="AJ81" i="8" s="1"/>
  <c r="AK81" i="8" s="1"/>
  <c r="AL81" i="8" s="1"/>
  <c r="AM81" i="8" s="1"/>
  <c r="AN81" i="8" s="1"/>
  <c r="AO81" i="8" s="1"/>
  <c r="AP81" i="8" s="1"/>
  <c r="AQ81" i="8" s="1"/>
  <c r="AR81" i="8" s="1"/>
  <c r="AS81" i="8" s="1"/>
  <c r="AT81" i="8" s="1"/>
  <c r="AU81" i="8" s="1"/>
  <c r="AV81" i="8" s="1"/>
  <c r="AW81" i="8" s="1"/>
  <c r="AX81" i="8" s="1"/>
  <c r="L77" i="8"/>
  <c r="K73" i="8"/>
  <c r="J73" i="8"/>
  <c r="K72" i="8"/>
  <c r="J72" i="8"/>
  <c r="J71" i="8"/>
  <c r="J70" i="8"/>
  <c r="K64" i="8"/>
  <c r="J64" i="8"/>
  <c r="K63" i="8"/>
  <c r="J63" i="8"/>
  <c r="K62" i="8"/>
  <c r="J62" i="8"/>
  <c r="K61" i="8"/>
  <c r="J61" i="8"/>
  <c r="K60" i="8"/>
  <c r="J60" i="8"/>
  <c r="K59" i="8"/>
  <c r="J59" i="8"/>
  <c r="K58" i="8"/>
  <c r="J58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B47" i="8"/>
  <c r="J46" i="8"/>
  <c r="B45" i="8"/>
  <c r="K44" i="8"/>
  <c r="J44" i="8"/>
  <c r="K42" i="8"/>
  <c r="J42" i="8"/>
  <c r="J41" i="8"/>
  <c r="K40" i="8"/>
  <c r="K43" i="8" s="1"/>
  <c r="J40" i="8"/>
  <c r="K38" i="8"/>
  <c r="J38" i="8"/>
  <c r="K34" i="8"/>
  <c r="K32" i="8"/>
  <c r="K30" i="8"/>
  <c r="J30" i="8"/>
  <c r="K29" i="8"/>
  <c r="J29" i="8"/>
  <c r="K28" i="8"/>
  <c r="J28" i="8"/>
  <c r="K27" i="8"/>
  <c r="J27" i="8"/>
  <c r="K26" i="8"/>
  <c r="J26" i="8"/>
  <c r="K24" i="8"/>
  <c r="J24" i="8"/>
  <c r="J23" i="8"/>
  <c r="K21" i="8"/>
  <c r="J21" i="8"/>
  <c r="K20" i="8"/>
  <c r="J20" i="8"/>
  <c r="K18" i="8"/>
  <c r="J18" i="8"/>
  <c r="K17" i="8"/>
  <c r="J17" i="8"/>
  <c r="K15" i="8"/>
  <c r="J15" i="8"/>
  <c r="J14" i="8"/>
  <c r="K13" i="8"/>
  <c r="J13" i="8"/>
  <c r="K12" i="8"/>
  <c r="J12" i="8"/>
  <c r="K11" i="8"/>
  <c r="J11" i="8"/>
  <c r="H43" i="24" l="1"/>
  <c r="H48" i="24" s="1"/>
  <c r="H50" i="24" s="1"/>
  <c r="L79" i="8"/>
  <c r="H43" i="20"/>
  <c r="H48" i="20" s="1"/>
  <c r="H50" i="20" s="1"/>
  <c r="J16" i="8"/>
  <c r="K16" i="8"/>
  <c r="J47" i="8"/>
  <c r="F27" i="20" s="1"/>
  <c r="K71" i="8"/>
  <c r="K74" i="8"/>
  <c r="J45" i="8"/>
  <c r="K33" i="8"/>
  <c r="K36" i="8" s="1"/>
  <c r="J34" i="8"/>
  <c r="J33" i="8"/>
  <c r="J43" i="8"/>
  <c r="J74" i="8"/>
  <c r="J36" i="8" l="1"/>
  <c r="J37" i="8" s="1"/>
  <c r="K37" i="8"/>
  <c r="K75" i="8"/>
  <c r="K76" i="8" s="1"/>
  <c r="J75" i="8"/>
  <c r="J76" i="8" s="1"/>
  <c r="K77" i="8" l="1"/>
  <c r="J77" i="8"/>
  <c r="F43" i="24" s="1"/>
  <c r="F48" i="24" s="1"/>
  <c r="F50" i="24" s="1"/>
  <c r="F52" i="24" s="1"/>
  <c r="G43" i="24" l="1"/>
  <c r="G48" i="24" s="1"/>
  <c r="G50" i="24" s="1"/>
  <c r="G52" i="24" s="1"/>
  <c r="H10" i="24" s="1"/>
  <c r="H52" i="24" s="1"/>
  <c r="I10" i="24" s="1"/>
  <c r="I52" i="24" s="1"/>
  <c r="K79" i="8"/>
  <c r="G43" i="20"/>
  <c r="G48" i="20" s="1"/>
  <c r="G50" i="20" s="1"/>
  <c r="F43" i="20"/>
  <c r="F48" i="20" s="1"/>
  <c r="F50" i="20" s="1"/>
  <c r="J79" i="8"/>
  <c r="J81" i="8" s="1"/>
  <c r="K81" i="8" l="1"/>
  <c r="L81" i="8" s="1"/>
  <c r="F52" i="20"/>
  <c r="G52" i="20" l="1"/>
  <c r="H10" i="20" s="1"/>
  <c r="H52" i="20" s="1"/>
  <c r="I10" i="20" s="1"/>
  <c r="I52" i="20" s="1"/>
  <c r="L23" i="26" l="1"/>
  <c r="I38" i="26"/>
  <c r="I76" i="26" s="1"/>
  <c r="I77" i="26" l="1"/>
  <c r="L77" i="26" s="1"/>
  <c r="L76" i="26"/>
</calcChain>
</file>

<file path=xl/comments1.xml><?xml version="1.0" encoding="utf-8"?>
<comments xmlns="http://schemas.openxmlformats.org/spreadsheetml/2006/main">
  <authors>
    <author/>
  </authors>
  <commentList>
    <comment ref="D21" authorId="0" shapeId="0">
      <text>
        <r>
          <rPr>
            <sz val="11"/>
            <color theme="1"/>
            <rFont val="Arial"/>
            <family val="2"/>
          </rPr>
          <t>Utilisateur Windows:
c) 2,50€ la boite de 50 masques sur 3 mois.
Sachant qu'il y a 440 boites x 2,50€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1" authorId="0" shapeId="0">
      <text>
        <r>
          <rPr>
            <sz val="11"/>
            <color theme="1"/>
            <rFont val="Arial"/>
            <family val="2"/>
          </rPr>
          <t>Utilisateur Windows:
c) 2,50€ la boite de 50 masques sur 3 mois.
Sachant qu'il y a 440 boites x 2,50€</t>
        </r>
      </text>
    </comment>
  </commentList>
</comments>
</file>

<file path=xl/sharedStrings.xml><?xml version="1.0" encoding="utf-8"?>
<sst xmlns="http://schemas.openxmlformats.org/spreadsheetml/2006/main" count="859" uniqueCount="293">
  <si>
    <t>dec-21</t>
  </si>
  <si>
    <t>aout-22</t>
  </si>
  <si>
    <t>dec-22</t>
  </si>
  <si>
    <t>fev-23</t>
  </si>
  <si>
    <t>aout-23</t>
  </si>
  <si>
    <t>dec-23</t>
  </si>
  <si>
    <t>Apport en capital / Augmentation fonds associatifs</t>
  </si>
  <si>
    <t>Subventions d'investissements</t>
  </si>
  <si>
    <t>Cessions d'immobilisations</t>
  </si>
  <si>
    <t>(Ex : vente d'un immeuble, du materiel, machine, …)</t>
  </si>
  <si>
    <t>Emprunts bancaires</t>
  </si>
  <si>
    <t>Concours financiers</t>
  </si>
  <si>
    <t>(Apport financier autre qu'un emprunt bancaire)</t>
  </si>
  <si>
    <t>Apports en courants associés bloqués</t>
  </si>
  <si>
    <t>HORS EXPLOITATION</t>
  </si>
  <si>
    <t>Créances à l'ouverture</t>
  </si>
  <si>
    <t>(Voir explication onglet notice à partir de la ligne 36)</t>
  </si>
  <si>
    <t>Chiffre d'affaires TTC 3</t>
  </si>
  <si>
    <t>Distribution de masques</t>
  </si>
  <si>
    <t>Chiffre d'affaires TTC 4</t>
  </si>
  <si>
    <t>Chiffre d'affaires TTC 5</t>
  </si>
  <si>
    <t>Chiffre d'affaires TTC 6</t>
  </si>
  <si>
    <t>Chiffre d'affaires TTC 7</t>
  </si>
  <si>
    <t>Subventions d'exploitation</t>
  </si>
  <si>
    <t>(Conseil Régional IDF) - Location et entretien locaux</t>
  </si>
  <si>
    <t>Aides aux postes</t>
  </si>
  <si>
    <t>(aide de l'état contrat CUI Pole Emploi) VG</t>
  </si>
  <si>
    <t>(aide de l'état contrat CUI Pole Emploi) CF</t>
  </si>
  <si>
    <t xml:space="preserve"> </t>
  </si>
  <si>
    <t>EXPLOITATION</t>
  </si>
  <si>
    <t>Matériel informatique et matériel de bureau pour travailleur handicapé</t>
  </si>
  <si>
    <t>Remboursement des emprunts</t>
  </si>
  <si>
    <t>Remboursement des comptes courants</t>
  </si>
  <si>
    <t>Dettes à l'ouverture</t>
  </si>
  <si>
    <t>Sous-traitance ==&gt; TTC 4  Intervenants praticiens</t>
  </si>
  <si>
    <t>Sous-traitance Intervenants Conférienciers ==&gt; TTC 5 / TTC 6</t>
  </si>
  <si>
    <t>Sous-traitance ==&gt; TTC 7  Intervenants praticiens</t>
  </si>
  <si>
    <t>Achats de marchandises et matières premières /prestations marketing</t>
  </si>
  <si>
    <t>Charges de personnel</t>
  </si>
  <si>
    <t>Charges externes TTC 3</t>
  </si>
  <si>
    <t>(Ex : eau, gaz, éléctricité,…)</t>
  </si>
  <si>
    <t>Charges externes TTC 4</t>
  </si>
  <si>
    <t>Charges externes TTC 5</t>
  </si>
  <si>
    <t>Charges externes TTC 6</t>
  </si>
  <si>
    <t>Charges externes TTC 7</t>
  </si>
  <si>
    <t>Charges externes TTC 8</t>
  </si>
  <si>
    <t>Charges externes TTC 9</t>
  </si>
  <si>
    <t>Charges externes TTC 10</t>
  </si>
  <si>
    <t>Charges externes TTC 11</t>
  </si>
  <si>
    <t>Charges externes TTC 12</t>
  </si>
  <si>
    <t>Charges externes TTC 13</t>
  </si>
  <si>
    <t>Cotisations sociales</t>
  </si>
  <si>
    <t>(Contrat CUI fin 26/02/2022) -  COTIS. PATRONALES</t>
  </si>
  <si>
    <t>(Contrat CUI fin mars 2022) -  COTIS. PATRONALES</t>
  </si>
  <si>
    <t>TVA à payer</t>
  </si>
  <si>
    <t>VARIATION TRESORERIE MENSUELLE</t>
  </si>
  <si>
    <r>
      <rPr>
        <b/>
        <sz val="14"/>
        <color theme="0"/>
        <rFont val="Arial Narrow"/>
        <family val="2"/>
      </rPr>
      <t>SOLDE DE TRESORERIE</t>
    </r>
    <r>
      <rPr>
        <b/>
        <sz val="14"/>
        <color theme="7"/>
        <rFont val="Arial Narrow"/>
        <family val="2"/>
      </rPr>
      <t xml:space="preserve"> </t>
    </r>
  </si>
  <si>
    <t>CALCUL DE LA TVA</t>
  </si>
  <si>
    <t>TVA</t>
  </si>
  <si>
    <t>TVA collectée / ventes</t>
  </si>
  <si>
    <t>TVA collectée / cessions</t>
  </si>
  <si>
    <t>TVA déductible / achats</t>
  </si>
  <si>
    <t>TVA déductible / immobilisations</t>
  </si>
  <si>
    <t>TVA A DECAISSER</t>
  </si>
  <si>
    <t>CREDIT DE TVA</t>
  </si>
  <si>
    <t>TVA A PAYER</t>
  </si>
  <si>
    <t>(Contrat CUI fin 26/02/2022) -  BRUT - Carole FOURNAISE</t>
  </si>
  <si>
    <t>(Contrat CUI fin mars 2022) -  BRUT - Valérie GRELAT</t>
  </si>
  <si>
    <t>POLE SANTE PLURIDISCIPLINAIRE PARIS EST - Association Loi 1901 non assujettie à TVA</t>
  </si>
  <si>
    <t>Résultat comptable (avec éléments non monétaires)</t>
  </si>
  <si>
    <t>Créances au 01/01/2021</t>
  </si>
  <si>
    <t>Dettes au 01/01/2021</t>
  </si>
  <si>
    <t>Association non assujettie à TVA</t>
  </si>
  <si>
    <t>Charges externes</t>
  </si>
  <si>
    <t xml:space="preserve">Adhésions </t>
  </si>
  <si>
    <t xml:space="preserve">POLE SANTE </t>
  </si>
  <si>
    <t>COMMENTAIRES / MODELES ECONOMIQUES</t>
  </si>
  <si>
    <t xml:space="preserve">Mise à disposition de Guides </t>
  </si>
  <si>
    <t xml:space="preserve"> Ateliers collectifs bénéficiaires </t>
  </si>
  <si>
    <t>Colloques et conférences en présentiel</t>
  </si>
  <si>
    <t>Visio-Conférences faites par les médecins</t>
  </si>
  <si>
    <t xml:space="preserve">Cures Remise en Santé </t>
  </si>
  <si>
    <t xml:space="preserve">Conseil Régional IDF / Convention Aidants </t>
  </si>
  <si>
    <t xml:space="preserve"> France Active (ESS/Covid) - </t>
  </si>
  <si>
    <t>Contrat Appretissage</t>
  </si>
  <si>
    <t>Webinaire - Conférenciers - salles - publicité</t>
  </si>
  <si>
    <t xml:space="preserve">Tout bien qui entre dans le processus de production : impression, Marketing digital, site web, référencement Naturel SEO </t>
  </si>
  <si>
    <t xml:space="preserve">Charges externes </t>
  </si>
  <si>
    <t>L'Association est hébergée à titre gratuit par la Société KHEPRI Formation.</t>
  </si>
  <si>
    <t>Coût des loyers :</t>
  </si>
  <si>
    <t>Recettes TTC 1</t>
  </si>
  <si>
    <t>Recettes TTC 2</t>
  </si>
  <si>
    <t>Recettes TTC 4</t>
  </si>
  <si>
    <t>NB : les fonds dédiés figurant au passif du bilan tel que prévu par le plan comptable des Associations ne sont pas des dettes : les sommes figurant au passif du bilan sont rapportées en résultat (recettes) à due concurrence des dépenses engagées, l'année qui supporte ces charges ; en conséquence, l'octroi puis l'utilisation des fonds dits dédiés sont sans impact sur le résultat de l'Association.</t>
  </si>
  <si>
    <t>Recettes  TTC 1</t>
  </si>
  <si>
    <t>Recettes TTC  3</t>
  </si>
  <si>
    <t>Recettes TTC 5</t>
  </si>
  <si>
    <t>Recettes TTC  6</t>
  </si>
  <si>
    <t>Recettes TTC  7</t>
  </si>
  <si>
    <t>COMPTES DE RESULTAT PREVISIONNELS</t>
  </si>
  <si>
    <t>PRODUITS</t>
  </si>
  <si>
    <t>CHARGES</t>
  </si>
  <si>
    <t>TOTAL DEPENSES</t>
  </si>
  <si>
    <t xml:space="preserve">ASSOCIATION POLE SANTE PURIDISCIPLINAIRE PARIS EST </t>
  </si>
  <si>
    <t>aide Etat Covid ( 2 apprentis EL /SI )</t>
  </si>
  <si>
    <t>( 2 apprentis EL / SI  Communication-Finance)</t>
  </si>
  <si>
    <t>Charges de gestion</t>
  </si>
  <si>
    <t>Adhésions personnes physiques</t>
  </si>
  <si>
    <t>Adhésions personnes morales</t>
  </si>
  <si>
    <t>Recettes  TTC 1 bis</t>
  </si>
  <si>
    <t>TOTAL RECETTES</t>
  </si>
  <si>
    <t xml:space="preserve">Verbatim pour les aidants des personnes agées </t>
  </si>
  <si>
    <t>Adaptation du Verbatim pour pour les jeunes aidants</t>
  </si>
  <si>
    <t>Assurances : / Frais bancaires</t>
  </si>
  <si>
    <t>Loyers 2ème étage/ quote part</t>
  </si>
  <si>
    <t>GROUPE KHEPRI</t>
  </si>
  <si>
    <t>TABLEAU DE FINANCEMENT EQUILIBRE</t>
  </si>
  <si>
    <t>Montants exprimés en euros</t>
  </si>
  <si>
    <t>12 mois</t>
  </si>
  <si>
    <t>Trésorerie de début de période</t>
  </si>
  <si>
    <t>RESSOURCES</t>
  </si>
  <si>
    <t>Capacité d'Auto-Financement :</t>
  </si>
  <si>
    <t>- Résultats comptables</t>
  </si>
  <si>
    <t>- Amortissements des immobilisations</t>
  </si>
  <si>
    <t>Total des ressources</t>
  </si>
  <si>
    <t>(i)</t>
  </si>
  <si>
    <t>Capitaux empruntés :</t>
  </si>
  <si>
    <t>BESOIN EN FONDS DE ROULEMENT</t>
  </si>
  <si>
    <t>Augmentation du BFR</t>
  </si>
  <si>
    <t>(ii)</t>
  </si>
  <si>
    <t>Solde Ressources - Emplois</t>
  </si>
  <si>
    <t>Trésorerie de fin de période</t>
  </si>
  <si>
    <t>BESOINS</t>
  </si>
  <si>
    <t>tout public</t>
  </si>
  <si>
    <t>projet aidants</t>
  </si>
  <si>
    <t>projet jeunesse ateliers soutien</t>
  </si>
  <si>
    <t>projet programmes remises en santé</t>
  </si>
  <si>
    <t>contrôle</t>
  </si>
  <si>
    <t>projet Aidants (63 K€)/2ème ac subv 2021</t>
  </si>
  <si>
    <t>TOTAL PRODUITS</t>
  </si>
  <si>
    <t>Honoraires avocat- procédures juridiques Label sport santé et centre anti-douleurs</t>
  </si>
  <si>
    <t>Factures TERRA FIRMA - Subvention CR IDF Convention aidants</t>
  </si>
  <si>
    <t>projet Aidants (montant final 63 K€)</t>
  </si>
  <si>
    <t>(2 apprentis  EL / SI Communication-Finance)</t>
  </si>
  <si>
    <t>(Ex : eau, gaz, éléctricité,…) ==&gt; quote part</t>
  </si>
  <si>
    <t>(Ex : eau, gaz, éléctricité, loyers, autres prestations,…)</t>
  </si>
  <si>
    <t>Assurances : 400 € / Frais bancaire : 100 €</t>
  </si>
  <si>
    <t>fonds associatifs fev22</t>
  </si>
  <si>
    <t>Recettes TTC 3</t>
  </si>
  <si>
    <t>Autres subventions</t>
  </si>
  <si>
    <t>Contrat Apprentissage</t>
  </si>
  <si>
    <t>aide Etat Covid ( 2 apprentis EL / SI )</t>
  </si>
  <si>
    <t>Remb. Fonds associatifs / 5ans</t>
  </si>
  <si>
    <t xml:space="preserve"> Verbatim pour les aidants des personnes agées </t>
  </si>
  <si>
    <t>Adaptation du Verbatim pour les jeunes aidants</t>
  </si>
  <si>
    <t xml:space="preserve">Charges de gestion </t>
  </si>
  <si>
    <t>Assurances 1000 € / Frais bancaires 1000 €</t>
  </si>
  <si>
    <t>(Ingénieur informatique)</t>
  </si>
  <si>
    <t>(Ex :  locations de salles…)</t>
  </si>
  <si>
    <t>(loyers 2ème étage/ quote part 80%)</t>
  </si>
  <si>
    <t>( 2 apprentis  EL /SI Communication-Finance )</t>
  </si>
  <si>
    <t xml:space="preserve">  BRUT - Psycologue</t>
  </si>
  <si>
    <t xml:space="preserve">  COTIS. PATRONALES - Psycologue</t>
  </si>
  <si>
    <t>Total des  besoins</t>
  </si>
  <si>
    <t>(ii) - (i)</t>
  </si>
  <si>
    <t>Brut - Psychologue</t>
  </si>
  <si>
    <t>Cotisatios Patronales - Psychologue</t>
  </si>
  <si>
    <t>Ingénieur informatique - M. Jarrije</t>
  </si>
  <si>
    <t>Locations de salles… / Quote-part 3ième étage.</t>
  </si>
  <si>
    <t>(Contrat CUI fin mars 2022) -  BRUT - Valérie - Elie 4 mois en 2023, apprentié en 2022</t>
  </si>
  <si>
    <t>Démarrage des</t>
  </si>
  <si>
    <t>nouveaux projets</t>
  </si>
  <si>
    <t>Acquisition d'immobilisations :</t>
  </si>
  <si>
    <t>- Verbatim Aidants</t>
  </si>
  <si>
    <t>- Verbatim Jeunes Aidants</t>
  </si>
  <si>
    <t>Remboursement des emprunts bancaires</t>
  </si>
  <si>
    <t>Reboursement de l'apport en fonds propres avec droit de reprise</t>
  </si>
  <si>
    <t>Subventions :</t>
  </si>
  <si>
    <t>Emprunts bancaires :</t>
  </si>
  <si>
    <t>Apport en fonds associatifs :</t>
  </si>
  <si>
    <t>- Fonds Associatifs avec droit de reprise (France Active)</t>
  </si>
  <si>
    <t>- Région IdF pour Verbatim - Solde de la subvention pour 2021 &amp; 2022</t>
  </si>
  <si>
    <t>- Banque (rembt selon rythme des fonds associatifs ci-dessus)</t>
  </si>
  <si>
    <t>Financement recherché</t>
  </si>
  <si>
    <t>- Logiciel de remise en santé</t>
  </si>
  <si>
    <t>- Logicie Plate-forme Webinaire</t>
  </si>
  <si>
    <r>
      <t>SOLDE DE TRESORERIE</t>
    </r>
    <r>
      <rPr>
        <b/>
        <sz val="14"/>
        <color theme="7"/>
        <rFont val="Arial Narrow"/>
        <family val="2"/>
      </rPr>
      <t xml:space="preserve"> </t>
    </r>
  </si>
  <si>
    <t>Investissement 2021</t>
  </si>
  <si>
    <t>Investissement 2022</t>
  </si>
  <si>
    <t>Investissement 2023</t>
  </si>
  <si>
    <t>Résultats comptables</t>
  </si>
  <si>
    <t>PLAN DE TRESORERIE</t>
  </si>
  <si>
    <t>INVESTISSEMENTS - PROJETS</t>
  </si>
  <si>
    <t>RESULTATS PREVISIONNELS</t>
  </si>
  <si>
    <t>q</t>
  </si>
  <si>
    <t>FLUX DE TRESORERIE</t>
  </si>
  <si>
    <t>VARIATIONS DE TRESORERIE ANNUELLES ET MENSUELLE</t>
  </si>
  <si>
    <t>Emprunt bancaire demandé avec l'appui de l'apport en fonds associatifs</t>
  </si>
  <si>
    <t>Apports en fonds associatifs</t>
  </si>
  <si>
    <t>Apport en fonds associatifs avec droit de reprise - France Active</t>
  </si>
  <si>
    <t>TOTAL :</t>
  </si>
  <si>
    <t>- Logiciel Plate-forme Webinaire</t>
  </si>
  <si>
    <t>Economie de coût Verbatim sur projet initial</t>
  </si>
  <si>
    <t>Résultats comptables : détail en onglet "1 - Résultats Prévisionnels"</t>
  </si>
  <si>
    <t>FINANCEMENT RECHERCHE pour assurer l'équilibre de la trésorerie</t>
  </si>
  <si>
    <t>Solde de trésorerie équilibré</t>
  </si>
  <si>
    <t>Solde de trésorerie non équilibré, avant prise en compte du financement recherché</t>
  </si>
  <si>
    <t>Remboursement sur 3 ans des Fonds associatifs France Active, à partir de 2023</t>
  </si>
  <si>
    <t>Résultats comptables prévisionnels</t>
  </si>
  <si>
    <t>INDEX</t>
  </si>
  <si>
    <t>TdF Non Equilibré</t>
  </si>
  <si>
    <t>TdF Equilibré</t>
  </si>
  <si>
    <t>1 - Résultats Prévisionnels</t>
  </si>
  <si>
    <t>2 - Plan de Trésorerie</t>
  </si>
  <si>
    <t>1er onglet :</t>
  </si>
  <si>
    <t>2ième onglet :</t>
  </si>
  <si>
    <t>3ième onglet :</t>
  </si>
  <si>
    <t>4ième onglet :</t>
  </si>
  <si>
    <t>TABLEAU DE FINANCEMENT NON EQUILIBRE</t>
  </si>
  <si>
    <t>Tableau de Financement Equilibré AVEC les financements recherchés (2022 - 2023 - 2024)</t>
  </si>
  <si>
    <t>Tableau de Financement NON Equilibré, SANS les financements recherchés (2022 - 2023 - 2024)</t>
  </si>
  <si>
    <t>Comptes de résultats prévisionnels (2022 - 2023 - 2024)</t>
  </si>
  <si>
    <t>Plan de Trésorerie AVANT prise en compte des financements recherchés (2022 - 2023)</t>
  </si>
  <si>
    <t>en 2022</t>
  </si>
  <si>
    <t>Investissement 2024</t>
  </si>
  <si>
    <t>Solde bancaire au 01/01/2022</t>
  </si>
  <si>
    <t>Total du programme d'investissement pluriannuel :</t>
  </si>
  <si>
    <t>TOTAL ENCAISSEMENTS</t>
  </si>
  <si>
    <t>TOTAL DECAISSEMENTS</t>
  </si>
  <si>
    <t>Eléments monétaires n'impactant pas le résultat</t>
  </si>
  <si>
    <t>Cadrage avec le Plan de Trésorerie, ligne 80</t>
  </si>
  <si>
    <t>Solde en banque au 31 décembre 2021 :</t>
  </si>
  <si>
    <t>Solde au 05 01 2022 (créditeur) :</t>
  </si>
  <si>
    <t>Annulation du crédit "Viriement DRFIP Ile de France"</t>
  </si>
  <si>
    <t>Auunlation du débit "Prélèvement Commission de mouvement - Banque"</t>
  </si>
  <si>
    <t>Auunlation du débit "MMA IARD - Assurance"</t>
  </si>
  <si>
    <t>Solde au 31 12 2021 (créditeur) :</t>
  </si>
  <si>
    <t>2022 : moyenne de 150 adhérents x 25 € = 3750€</t>
  </si>
  <si>
    <t>il est envisagée en 2023 d'avoir 200 adhérents (10% de la clientèle totale de Khépri Santé) = 5000€</t>
  </si>
  <si>
    <t>2024 = 3750€</t>
  </si>
  <si>
    <t>Livre Blanc</t>
  </si>
  <si>
    <t xml:space="preserve">Mise à disposition de Guides livres blancs </t>
  </si>
  <si>
    <t>0 € prix unitaire, guide d'éducation à la santé</t>
  </si>
  <si>
    <t xml:space="preserve"> Ateliers collectifs bénéficiaires initiation à la santé naturelle</t>
  </si>
  <si>
    <t>ACTIVITE</t>
  </si>
  <si>
    <t>PRATICIEN</t>
  </si>
  <si>
    <t>Pack de NBRE SEANCES</t>
  </si>
  <si>
    <t>Prix unitaire séance</t>
  </si>
  <si>
    <t>Tarifs Public/pack</t>
  </si>
  <si>
    <t>NBRE STAGIAIRES</t>
  </si>
  <si>
    <t>Durée/séance heure</t>
  </si>
  <si>
    <t>Recette totale</t>
  </si>
  <si>
    <t>Prestations praticiens</t>
  </si>
  <si>
    <t>Nbre heures praticien</t>
  </si>
  <si>
    <t>Total prestations reversées</t>
  </si>
  <si>
    <t>Equilibre au Travail</t>
  </si>
  <si>
    <t>Nathalie Uzan</t>
  </si>
  <si>
    <t>YOGA</t>
  </si>
  <si>
    <t>Emelyne Humez</t>
  </si>
  <si>
    <t>QI GONG</t>
  </si>
  <si>
    <t>D. Assemaine / D. Lyon</t>
  </si>
  <si>
    <t>COLLAGE</t>
  </si>
  <si>
    <t>Carole Fournaise</t>
  </si>
  <si>
    <t>DANSE THERAPIE</t>
  </si>
  <si>
    <t>Pascale Saly-Giocanti</t>
  </si>
  <si>
    <t>AROMA-PHYTO</t>
  </si>
  <si>
    <t>Fériale Daoudi</t>
  </si>
  <si>
    <t>FLEURS DE BACH</t>
  </si>
  <si>
    <t>ATELIERS COLLECTIFS A VISEE THERAPEUTIQUE 2021</t>
  </si>
  <si>
    <t>Prestations 2022</t>
  </si>
  <si>
    <t>Recettes2022 Si X3</t>
  </si>
  <si>
    <t>Visio-Conférences des médecins gratuites</t>
  </si>
  <si>
    <t>Visio-conférences gratuites par les médecins</t>
  </si>
  <si>
    <t xml:space="preserve">Condition d'inscription = Dons moyens de 10€ (de 5, 10 et 20€) soit 200 pers. X 10€ avec une hypothèse de 100 pers. ==&gt; 2000€ </t>
  </si>
  <si>
    <t>Si en 2022 = 3 visios de sensibilisation et d'éducation à la santé = 6000€</t>
  </si>
  <si>
    <t>Pour les années = prévision de 1 visio tous les 2 mois, soit 5 par an = 5x2000€ = 10000€ de dons pour l'association</t>
  </si>
  <si>
    <t>fonds associatifs mi 2022</t>
  </si>
  <si>
    <t>Mise à disposition de Guides livre blanc Santé</t>
  </si>
  <si>
    <t>Visio-Conférences faites par les médecins démarche marketing</t>
  </si>
  <si>
    <t>Colloques et conférences en présentiel Dédicace livres</t>
  </si>
  <si>
    <t>Autres subventions ESS C. Val de Marne dépôt mars 2022</t>
  </si>
  <si>
    <t>Clubs Cigaliens</t>
  </si>
  <si>
    <t>Acquis</t>
  </si>
  <si>
    <t>Préselectionné</t>
  </si>
  <si>
    <t>En projet</t>
  </si>
  <si>
    <t>Don</t>
  </si>
  <si>
    <t>Mutuelle APRIL</t>
  </si>
  <si>
    <t>Apport financier par fonds associatifs</t>
  </si>
  <si>
    <t xml:space="preserve">Conseil Régional IDF Solde/ Convention Aidants </t>
  </si>
  <si>
    <t>Webinaire - Conférenciers - salles - publicité Bénévolat</t>
  </si>
  <si>
    <t>Web Master et réseaux sociaux + marketing digital</t>
  </si>
  <si>
    <t>(loyers 2ème étage/ quote part 9 000€ selon convention)</t>
  </si>
  <si>
    <t>( 2 apprentis  EL /SI Communication-Finance)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</si>
</sst>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€&quot;;[Red]\-#,##0\ &quot;€&quot;"/>
    <numFmt numFmtId="43" formatCode="_-* #,##0.00\ _€_-;\-* #,##0.00\ _€_-;_-* &quot;-&quot;??\ _€_-;_-@_-"/>
    <numFmt numFmtId="164" formatCode="dd/mm/yy"/>
    <numFmt numFmtId="165" formatCode="[$-40C]mmm\-yy"/>
    <numFmt numFmtId="166" formatCode="mmm\-d"/>
    <numFmt numFmtId="167" formatCode="mmmm\-d"/>
    <numFmt numFmtId="168" formatCode="mmmd"/>
    <numFmt numFmtId="169" formatCode="#,##0\ _€"/>
    <numFmt numFmtId="170" formatCode="#,##0.00\ _€"/>
  </numFmts>
  <fonts count="62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20"/>
      <color theme="0"/>
      <name val="Goth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9"/>
      <color theme="1"/>
      <name val="Arial Narrow"/>
      <family val="2"/>
    </font>
    <font>
      <b/>
      <i/>
      <sz val="11"/>
      <color rgb="FF00A58D"/>
      <name val="Arial Narrow"/>
      <family val="2"/>
    </font>
    <font>
      <sz val="11"/>
      <color rgb="FF00A58D"/>
      <name val="Arial Narrow"/>
      <family val="2"/>
    </font>
    <font>
      <b/>
      <sz val="11"/>
      <color rgb="FF008000"/>
      <name val="Arial Narrow"/>
      <family val="2"/>
    </font>
    <font>
      <b/>
      <sz val="12"/>
      <color rgb="FF00A58D"/>
      <name val="Arial Narrow"/>
      <family val="2"/>
    </font>
    <font>
      <b/>
      <sz val="14"/>
      <color theme="0"/>
      <name val="Arial Narrow"/>
      <family val="2"/>
    </font>
    <font>
      <b/>
      <sz val="12"/>
      <color theme="1"/>
      <name val="Calibri"/>
      <family val="2"/>
    </font>
    <font>
      <b/>
      <sz val="14"/>
      <color theme="7"/>
      <name val="Arial Narrow"/>
      <family val="2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i/>
      <sz val="9"/>
      <color rgb="FFFF0000"/>
      <name val="Arial Narrow"/>
      <family val="2"/>
    </font>
    <font>
      <b/>
      <sz val="8"/>
      <color theme="0"/>
      <name val="Arial Narrow"/>
      <family val="2"/>
    </font>
    <font>
      <b/>
      <sz val="12"/>
      <color rgb="FF000000"/>
      <name val="Calibri"/>
      <family val="2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sz val="20"/>
      <name val="Arial"/>
      <family val="2"/>
    </font>
    <font>
      <sz val="14"/>
      <color theme="1"/>
      <name val="Calibri"/>
      <family val="2"/>
    </font>
    <font>
      <sz val="11"/>
      <color theme="1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  <font>
      <i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Arial Narrow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Calibr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  <scheme val="major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b/>
      <sz val="12"/>
      <color rgb="FF000000"/>
      <name val="Calibri"/>
      <family val="2"/>
      <scheme val="major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A58D"/>
        <bgColor rgb="FF00A58D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9" tint="0.59999389629810485"/>
        <bgColor rgb="FFD8D8D8"/>
      </patternFill>
    </fill>
    <fill>
      <patternFill patternType="solid">
        <fgColor rgb="FFFFFFCC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A58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2EFD9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DEEAF6"/>
      </patternFill>
    </fill>
    <fill>
      <patternFill patternType="solid">
        <fgColor theme="5" tint="0.59999389629810485"/>
        <bgColor rgb="FFD8D8D8"/>
      </patternFill>
    </fill>
    <fill>
      <patternFill patternType="solid">
        <fgColor rgb="FF92D050"/>
        <bgColor rgb="FFE2EFD9"/>
      </patternFill>
    </fill>
    <fill>
      <patternFill patternType="solid">
        <fgColor rgb="FF92D050"/>
        <bgColor indexed="64"/>
      </patternFill>
    </fill>
  </fills>
  <borders count="17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A58D"/>
      </left>
      <right/>
      <top style="thin">
        <color rgb="FF00A58D"/>
      </top>
      <bottom/>
      <diagonal/>
    </border>
    <border>
      <left/>
      <right/>
      <top style="thin">
        <color rgb="FF00A58D"/>
      </top>
      <bottom/>
      <diagonal/>
    </border>
    <border>
      <left style="thin">
        <color rgb="FF00A58D"/>
      </left>
      <right/>
      <top/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0000"/>
      </right>
      <top style="thin">
        <color rgb="FF00A58D"/>
      </top>
      <bottom style="thin">
        <color rgb="FF00A58D"/>
      </bottom>
      <diagonal/>
    </border>
    <border>
      <left style="thin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 style="dotted">
        <color rgb="FF00A58D"/>
      </left>
      <right/>
      <top style="thin">
        <color rgb="FF00A58D"/>
      </top>
      <bottom/>
      <diagonal/>
    </border>
    <border>
      <left style="medium">
        <color rgb="FF00A58D"/>
      </left>
      <right/>
      <top/>
      <bottom/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 style="medium">
        <color rgb="FF00A58D"/>
      </right>
      <top style="medium">
        <color rgb="FF00A58D"/>
      </top>
      <bottom style="medium">
        <color rgb="FF00A58D"/>
      </bottom>
      <diagonal/>
    </border>
    <border>
      <left/>
      <right/>
      <top/>
      <bottom/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A58D"/>
      </top>
      <bottom/>
      <diagonal/>
    </border>
    <border>
      <left style="dotted">
        <color rgb="FF00A58D"/>
      </left>
      <right style="dotted">
        <color rgb="FF00A58D"/>
      </right>
      <top/>
      <bottom/>
      <diagonal/>
    </border>
    <border>
      <left style="dotted">
        <color rgb="FF00A58D"/>
      </left>
      <right/>
      <top/>
      <bottom/>
      <diagonal/>
    </border>
    <border>
      <left/>
      <right style="thin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medium">
        <color rgb="FF00A58D"/>
      </top>
      <bottom/>
      <diagonal/>
    </border>
    <border>
      <left/>
      <right style="thin">
        <color rgb="FF00A58D"/>
      </right>
      <top style="medium">
        <color rgb="FF00A58D"/>
      </top>
      <bottom/>
      <diagonal/>
    </border>
    <border>
      <left style="thin">
        <color rgb="FF00A58D"/>
      </left>
      <right/>
      <top style="medium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A58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A58D"/>
      </left>
      <right/>
      <top/>
      <bottom style="medium">
        <color rgb="FF00A58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A58D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A58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A58D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rgb="FF00A58D"/>
      </right>
      <top/>
      <bottom style="thin">
        <color rgb="FF00A58D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A58D"/>
      </bottom>
      <diagonal/>
    </border>
    <border>
      <left/>
      <right style="medium">
        <color indexed="64"/>
      </right>
      <top/>
      <bottom style="thin">
        <color rgb="FF00A58D"/>
      </bottom>
      <diagonal/>
    </border>
    <border>
      <left style="medium">
        <color indexed="64"/>
      </left>
      <right style="thin">
        <color rgb="FF000000"/>
      </right>
      <top style="medium">
        <color rgb="FF00A58D"/>
      </top>
      <bottom style="medium">
        <color indexed="64"/>
      </bottom>
      <diagonal/>
    </border>
    <border>
      <left/>
      <right style="thin">
        <color rgb="FF000000"/>
      </right>
      <top style="medium">
        <color rgb="FF00A58D"/>
      </top>
      <bottom style="medium">
        <color indexed="64"/>
      </bottom>
      <diagonal/>
    </border>
    <border>
      <left/>
      <right style="medium">
        <color indexed="64"/>
      </right>
      <top style="medium">
        <color rgb="FF00A58D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A58D"/>
      </right>
      <top style="medium">
        <color rgb="FF00A58D"/>
      </top>
      <bottom style="thin">
        <color rgb="FF00A58D"/>
      </bottom>
      <diagonal/>
    </border>
    <border>
      <left/>
      <right style="thin">
        <color rgb="FF000000"/>
      </right>
      <top style="thin">
        <color rgb="FF00A58D"/>
      </top>
      <bottom style="thin">
        <color rgb="FF00A58D"/>
      </bottom>
      <diagonal/>
    </border>
    <border>
      <left/>
      <right style="dotted">
        <color rgb="FF00A58D"/>
      </right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thin">
        <color rgb="FF00A58D"/>
      </top>
      <bottom/>
      <diagonal/>
    </border>
    <border>
      <left/>
      <right style="medium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/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medium">
        <color indexed="64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medium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indexed="64"/>
      </left>
      <right/>
      <top/>
      <bottom style="thin">
        <color rgb="FF00A58D"/>
      </bottom>
      <diagonal/>
    </border>
    <border>
      <left style="dotted">
        <color rgb="FF00A58D"/>
      </left>
      <right style="medium">
        <color indexed="64"/>
      </right>
      <top/>
      <bottom style="thin">
        <color rgb="FF00A58D"/>
      </bottom>
      <diagonal/>
    </border>
    <border>
      <left style="medium">
        <color indexed="64"/>
      </left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medium">
        <color indexed="64"/>
      </right>
      <top style="medium">
        <color rgb="FF00A58D"/>
      </top>
      <bottom style="thin">
        <color rgb="FF00A58D"/>
      </bottom>
      <diagonal/>
    </border>
    <border>
      <left style="medium">
        <color indexed="64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medium">
        <color indexed="64"/>
      </right>
      <top style="thin">
        <color rgb="FF00A58D"/>
      </top>
      <bottom/>
      <diagonal/>
    </border>
    <border>
      <left style="medium">
        <color indexed="64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 style="medium">
        <color indexed="64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 style="dotted">
        <color rgb="FF00A58D"/>
      </right>
      <top style="medium">
        <color rgb="FF00A58D"/>
      </top>
      <bottom style="medium">
        <color indexed="64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medium">
        <color indexed="64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medium">
        <color indexed="64"/>
      </bottom>
      <diagonal/>
    </border>
    <border>
      <left style="thin">
        <color rgb="FF00A58D"/>
      </left>
      <right/>
      <top style="medium">
        <color rgb="FF00A58D"/>
      </top>
      <bottom style="medium">
        <color indexed="64"/>
      </bottom>
      <diagonal/>
    </border>
    <border>
      <left style="thin">
        <color rgb="FF00A58D"/>
      </left>
      <right style="medium">
        <color indexed="64"/>
      </right>
      <top style="medium">
        <color rgb="FF00A58D"/>
      </top>
      <bottom style="medium">
        <color indexed="64"/>
      </bottom>
      <diagonal/>
    </border>
    <border>
      <left style="dotted">
        <color rgb="FF00A58D"/>
      </left>
      <right style="dotted">
        <color rgb="FF00A58D"/>
      </right>
      <top style="medium">
        <color indexed="64"/>
      </top>
      <bottom style="medium">
        <color indexed="64"/>
      </bottom>
      <diagonal/>
    </border>
    <border>
      <left style="dotted">
        <color rgb="FF00A58D"/>
      </left>
      <right style="thin">
        <color rgb="FF00A58D"/>
      </right>
      <top style="medium">
        <color indexed="64"/>
      </top>
      <bottom style="medium">
        <color indexed="64"/>
      </bottom>
      <diagonal/>
    </border>
    <border>
      <left style="dotted">
        <color rgb="FF00A58D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rgb="FF00A58D"/>
      </right>
      <top style="medium">
        <color rgb="FF00A58D"/>
      </top>
      <bottom/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/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A58D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A58D"/>
      </top>
      <bottom style="medium">
        <color rgb="FF00A58D"/>
      </bottom>
      <diagonal/>
    </border>
    <border>
      <left style="thin">
        <color rgb="FF000000"/>
      </left>
      <right/>
      <top/>
      <bottom style="thin">
        <color rgb="FF00A58D"/>
      </bottom>
      <diagonal/>
    </border>
    <border>
      <left/>
      <right/>
      <top style="medium">
        <color rgb="FF00A58D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A58D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A58D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0" fillId="0" borderId="0" applyFont="0" applyFill="0" applyBorder="0" applyAlignment="0" applyProtection="0"/>
  </cellStyleXfs>
  <cellXfs count="877">
    <xf numFmtId="0" fontId="0" fillId="0" borderId="0" xfId="0" applyFont="1" applyAlignment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vertical="center"/>
    </xf>
    <xf numFmtId="165" fontId="6" fillId="4" borderId="10" xfId="0" applyNumberFormat="1" applyFont="1" applyFill="1" applyBorder="1" applyAlignment="1">
      <alignment horizontal="center" vertical="center"/>
    </xf>
    <xf numFmtId="165" fontId="5" fillId="4" borderId="10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66" fontId="6" fillId="4" borderId="11" xfId="0" applyNumberFormat="1" applyFont="1" applyFill="1" applyBorder="1" applyAlignment="1">
      <alignment horizontal="center" vertical="center"/>
    </xf>
    <xf numFmtId="167" fontId="6" fillId="4" borderId="11" xfId="0" applyNumberFormat="1" applyFont="1" applyFill="1" applyBorder="1" applyAlignment="1">
      <alignment horizontal="center" vertical="center"/>
    </xf>
    <xf numFmtId="168" fontId="6" fillId="4" borderId="11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3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vertical="center"/>
    </xf>
    <xf numFmtId="3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0" fontId="8" fillId="3" borderId="17" xfId="0" applyFont="1" applyFill="1" applyBorder="1" applyAlignment="1">
      <alignment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3" fontId="7" fillId="0" borderId="24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vertical="center"/>
    </xf>
    <xf numFmtId="3" fontId="9" fillId="5" borderId="9" xfId="0" applyNumberFormat="1" applyFont="1" applyFill="1" applyBorder="1" applyAlignment="1">
      <alignment horizontal="right" vertical="center"/>
    </xf>
    <xf numFmtId="3" fontId="9" fillId="5" borderId="10" xfId="0" applyNumberFormat="1" applyFont="1" applyFill="1" applyBorder="1" applyAlignment="1">
      <alignment horizontal="right" vertical="center"/>
    </xf>
    <xf numFmtId="3" fontId="9" fillId="5" borderId="11" xfId="0" applyNumberFormat="1" applyFont="1" applyFill="1" applyBorder="1" applyAlignment="1">
      <alignment horizontal="right" vertical="center"/>
    </xf>
    <xf numFmtId="0" fontId="7" fillId="0" borderId="26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3" fontId="7" fillId="0" borderId="27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3" fontId="7" fillId="0" borderId="29" xfId="0" applyNumberFormat="1" applyFont="1" applyBorder="1" applyAlignment="1">
      <alignment horizontal="right" vertical="center"/>
    </xf>
    <xf numFmtId="3" fontId="7" fillId="0" borderId="30" xfId="0" applyNumberFormat="1" applyFont="1" applyBorder="1" applyAlignment="1">
      <alignment horizontal="right" vertical="center"/>
    </xf>
    <xf numFmtId="3" fontId="7" fillId="0" borderId="24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horizontal="right" vertical="center"/>
    </xf>
    <xf numFmtId="3" fontId="7" fillId="6" borderId="31" xfId="0" applyNumberFormat="1" applyFont="1" applyFill="1" applyBorder="1" applyAlignment="1">
      <alignment horizontal="right" vertical="center"/>
    </xf>
    <xf numFmtId="3" fontId="7" fillId="6" borderId="32" xfId="0" applyNumberFormat="1" applyFont="1" applyFill="1" applyBorder="1" applyAlignment="1">
      <alignment horizontal="right" vertical="center"/>
    </xf>
    <xf numFmtId="3" fontId="7" fillId="6" borderId="33" xfId="0" applyNumberFormat="1" applyFont="1" applyFill="1" applyBorder="1" applyAlignment="1">
      <alignment horizontal="right" vertical="center"/>
    </xf>
    <xf numFmtId="3" fontId="7" fillId="7" borderId="31" xfId="0" applyNumberFormat="1" applyFont="1" applyFill="1" applyBorder="1" applyAlignment="1">
      <alignment horizontal="right" vertical="center"/>
    </xf>
    <xf numFmtId="3" fontId="7" fillId="7" borderId="32" xfId="0" applyNumberFormat="1" applyFont="1" applyFill="1" applyBorder="1" applyAlignment="1">
      <alignment horizontal="right" vertical="center"/>
    </xf>
    <xf numFmtId="0" fontId="7" fillId="2" borderId="21" xfId="0" applyFont="1" applyFill="1" applyBorder="1" applyAlignment="1">
      <alignment horizontal="left" vertical="center"/>
    </xf>
    <xf numFmtId="3" fontId="7" fillId="8" borderId="31" xfId="0" applyNumberFormat="1" applyFont="1" applyFill="1" applyBorder="1" applyAlignment="1">
      <alignment horizontal="right" vertical="center"/>
    </xf>
    <xf numFmtId="3" fontId="7" fillId="8" borderId="34" xfId="0" applyNumberFormat="1" applyFont="1" applyFill="1" applyBorder="1" applyAlignment="1">
      <alignment horizontal="right" vertical="center"/>
    </xf>
    <xf numFmtId="3" fontId="7" fillId="8" borderId="32" xfId="0" applyNumberFormat="1" applyFont="1" applyFill="1" applyBorder="1" applyAlignment="1">
      <alignment horizontal="right" vertical="center"/>
    </xf>
    <xf numFmtId="3" fontId="7" fillId="8" borderId="32" xfId="0" applyNumberFormat="1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vertical="center"/>
    </xf>
    <xf numFmtId="3" fontId="9" fillId="0" borderId="18" xfId="0" applyNumberFormat="1" applyFont="1" applyBorder="1" applyAlignment="1">
      <alignment horizontal="right" vertical="center"/>
    </xf>
    <xf numFmtId="3" fontId="11" fillId="4" borderId="10" xfId="0" applyNumberFormat="1" applyFont="1" applyFill="1" applyBorder="1" applyAlignment="1">
      <alignment horizontal="right" vertical="center"/>
    </xf>
    <xf numFmtId="3" fontId="11" fillId="4" borderId="11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10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  <xf numFmtId="3" fontId="7" fillId="0" borderId="35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/>
    </xf>
    <xf numFmtId="3" fontId="7" fillId="0" borderId="37" xfId="0" applyNumberFormat="1" applyFont="1" applyBorder="1" applyAlignment="1">
      <alignment horizontal="right" vertical="center"/>
    </xf>
    <xf numFmtId="0" fontId="7" fillId="9" borderId="16" xfId="0" applyFont="1" applyFill="1" applyBorder="1" applyAlignment="1">
      <alignment horizontal="left" vertical="center" wrapText="1"/>
    </xf>
    <xf numFmtId="0" fontId="8" fillId="9" borderId="22" xfId="0" applyFont="1" applyFill="1" applyBorder="1" applyAlignment="1">
      <alignment vertical="center"/>
    </xf>
    <xf numFmtId="0" fontId="7" fillId="9" borderId="22" xfId="0" applyFont="1" applyFill="1" applyBorder="1" applyAlignment="1">
      <alignment vertical="center"/>
    </xf>
    <xf numFmtId="3" fontId="7" fillId="9" borderId="38" xfId="0" applyNumberFormat="1" applyFont="1" applyFill="1" applyBorder="1" applyAlignment="1">
      <alignment horizontal="right" vertical="center"/>
    </xf>
    <xf numFmtId="3" fontId="7" fillId="9" borderId="14" xfId="0" applyNumberFormat="1" applyFont="1" applyFill="1" applyBorder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3" fontId="7" fillId="6" borderId="38" xfId="0" applyNumberFormat="1" applyFont="1" applyFill="1" applyBorder="1" applyAlignment="1">
      <alignment horizontal="right" vertical="center"/>
    </xf>
    <xf numFmtId="3" fontId="7" fillId="6" borderId="14" xfId="0" applyNumberFormat="1" applyFont="1" applyFill="1" applyBorder="1" applyAlignment="1">
      <alignment horizontal="right" vertical="center"/>
    </xf>
    <xf numFmtId="3" fontId="7" fillId="6" borderId="39" xfId="0" applyNumberFormat="1" applyFont="1" applyFill="1" applyBorder="1" applyAlignment="1">
      <alignment horizontal="right" vertical="center"/>
    </xf>
    <xf numFmtId="3" fontId="7" fillId="6" borderId="41" xfId="0" applyNumberFormat="1" applyFont="1" applyFill="1" applyBorder="1" applyAlignment="1">
      <alignment horizontal="right" vertical="center"/>
    </xf>
    <xf numFmtId="3" fontId="7" fillId="7" borderId="38" xfId="0" applyNumberFormat="1" applyFont="1" applyFill="1" applyBorder="1" applyAlignment="1">
      <alignment horizontal="right" vertical="center"/>
    </xf>
    <xf numFmtId="3" fontId="7" fillId="7" borderId="14" xfId="0" applyNumberFormat="1" applyFont="1" applyFill="1" applyBorder="1" applyAlignment="1">
      <alignment horizontal="right" vertical="center"/>
    </xf>
    <xf numFmtId="3" fontId="7" fillId="7" borderId="33" xfId="0" applyNumberFormat="1" applyFont="1" applyFill="1" applyBorder="1" applyAlignment="1">
      <alignment horizontal="right" vertical="center"/>
    </xf>
    <xf numFmtId="3" fontId="7" fillId="2" borderId="38" xfId="0" applyNumberFormat="1" applyFont="1" applyFill="1" applyBorder="1" applyAlignment="1">
      <alignment horizontal="right" vertical="center"/>
    </xf>
    <xf numFmtId="3" fontId="7" fillId="2" borderId="14" xfId="0" applyNumberFormat="1" applyFont="1" applyFill="1" applyBorder="1" applyAlignment="1">
      <alignment horizontal="right" vertical="center"/>
    </xf>
    <xf numFmtId="3" fontId="7" fillId="2" borderId="39" xfId="0" applyNumberFormat="1" applyFont="1" applyFill="1" applyBorder="1" applyAlignment="1">
      <alignment horizontal="right" vertical="center"/>
    </xf>
    <xf numFmtId="3" fontId="7" fillId="2" borderId="33" xfId="0" applyNumberFormat="1" applyFont="1" applyFill="1" applyBorder="1" applyAlignment="1">
      <alignment horizontal="right" vertical="center"/>
    </xf>
    <xf numFmtId="3" fontId="7" fillId="8" borderId="38" xfId="0" applyNumberFormat="1" applyFont="1" applyFill="1" applyBorder="1" applyAlignment="1">
      <alignment horizontal="right" vertical="center"/>
    </xf>
    <xf numFmtId="3" fontId="7" fillId="8" borderId="14" xfId="0" applyNumberFormat="1" applyFont="1" applyFill="1" applyBorder="1" applyAlignment="1">
      <alignment horizontal="right" vertical="center"/>
    </xf>
    <xf numFmtId="3" fontId="7" fillId="8" borderId="33" xfId="0" applyNumberFormat="1" applyFont="1" applyFill="1" applyBorder="1" applyAlignment="1">
      <alignment horizontal="right" vertical="center"/>
    </xf>
    <xf numFmtId="3" fontId="7" fillId="8" borderId="33" xfId="0" applyNumberFormat="1" applyFont="1" applyFill="1" applyBorder="1" applyAlignment="1">
      <alignment horizontal="right" vertical="center"/>
    </xf>
    <xf numFmtId="3" fontId="7" fillId="5" borderId="38" xfId="0" applyNumberFormat="1" applyFont="1" applyFill="1" applyBorder="1" applyAlignment="1">
      <alignment horizontal="right" vertical="center"/>
    </xf>
    <xf numFmtId="3" fontId="7" fillId="5" borderId="14" xfId="0" applyNumberFormat="1" applyFont="1" applyFill="1" applyBorder="1" applyAlignment="1">
      <alignment horizontal="right" vertical="center"/>
    </xf>
    <xf numFmtId="3" fontId="7" fillId="5" borderId="39" xfId="0" applyNumberFormat="1" applyFont="1" applyFill="1" applyBorder="1" applyAlignment="1">
      <alignment horizontal="right" vertical="center"/>
    </xf>
    <xf numFmtId="3" fontId="7" fillId="5" borderId="40" xfId="0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vertical="center"/>
    </xf>
    <xf numFmtId="3" fontId="15" fillId="5" borderId="10" xfId="0" applyNumberFormat="1" applyFont="1" applyFill="1" applyBorder="1" applyAlignment="1">
      <alignment horizontal="right" vertical="center"/>
    </xf>
    <xf numFmtId="3" fontId="15" fillId="5" borderId="11" xfId="0" applyNumberFormat="1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3" fontId="15" fillId="0" borderId="44" xfId="0" applyNumberFormat="1" applyFont="1" applyBorder="1" applyAlignment="1">
      <alignment horizontal="right" vertical="center"/>
    </xf>
    <xf numFmtId="3" fontId="15" fillId="0" borderId="45" xfId="0" applyNumberFormat="1" applyFont="1" applyBorder="1" applyAlignment="1">
      <alignment horizontal="right" vertical="center"/>
    </xf>
    <xf numFmtId="0" fontId="16" fillId="3" borderId="1" xfId="0" applyFont="1" applyFill="1" applyBorder="1" applyAlignment="1">
      <alignment horizontal="left" vertical="center"/>
    </xf>
    <xf numFmtId="3" fontId="15" fillId="3" borderId="46" xfId="0" applyNumberFormat="1" applyFont="1" applyFill="1" applyBorder="1" applyAlignment="1">
      <alignment horizontal="right" vertical="center"/>
    </xf>
    <xf numFmtId="3" fontId="15" fillId="3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3" fontId="11" fillId="4" borderId="4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165" fontId="5" fillId="4" borderId="7" xfId="0" applyNumberFormat="1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2" xfId="0" applyFont="1" applyFill="1" applyBorder="1" applyAlignment="1">
      <alignment vertical="center"/>
    </xf>
    <xf numFmtId="0" fontId="7" fillId="5" borderId="48" xfId="0" applyFont="1" applyFill="1" applyBorder="1" applyAlignment="1">
      <alignment vertical="center"/>
    </xf>
    <xf numFmtId="3" fontId="7" fillId="5" borderId="13" xfId="0" applyNumberFormat="1" applyFont="1" applyFill="1" applyBorder="1" applyAlignment="1">
      <alignment horizontal="right" vertical="center"/>
    </xf>
    <xf numFmtId="3" fontId="7" fillId="5" borderId="49" xfId="0" applyNumberFormat="1" applyFont="1" applyFill="1" applyBorder="1" applyAlignment="1">
      <alignment horizontal="right" vertical="center"/>
    </xf>
    <xf numFmtId="3" fontId="7" fillId="5" borderId="14" xfId="0" applyNumberFormat="1" applyFont="1" applyFill="1" applyBorder="1" applyAlignment="1">
      <alignment horizontal="right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vertical="center"/>
    </xf>
    <xf numFmtId="0" fontId="7" fillId="5" borderId="50" xfId="0" applyFont="1" applyFill="1" applyBorder="1" applyAlignment="1">
      <alignment vertical="center"/>
    </xf>
    <xf numFmtId="3" fontId="7" fillId="5" borderId="20" xfId="0" applyNumberFormat="1" applyFont="1" applyFill="1" applyBorder="1" applyAlignment="1">
      <alignment horizontal="right" vertical="center"/>
    </xf>
    <xf numFmtId="3" fontId="7" fillId="5" borderId="15" xfId="0" applyNumberFormat="1" applyFont="1" applyFill="1" applyBorder="1" applyAlignment="1">
      <alignment horizontal="right" vertical="center"/>
    </xf>
    <xf numFmtId="0" fontId="16" fillId="5" borderId="7" xfId="0" applyFont="1" applyFill="1" applyBorder="1" applyAlignment="1">
      <alignment horizontal="left" vertical="center"/>
    </xf>
    <xf numFmtId="0" fontId="14" fillId="5" borderId="51" xfId="0" applyFont="1" applyFill="1" applyBorder="1" applyAlignment="1">
      <alignment horizontal="center" vertical="center"/>
    </xf>
    <xf numFmtId="3" fontId="15" fillId="5" borderId="43" xfId="0" applyNumberFormat="1" applyFont="1" applyFill="1" applyBorder="1" applyAlignment="1">
      <alignment horizontal="right" vertical="center"/>
    </xf>
    <xf numFmtId="3" fontId="15" fillId="5" borderId="47" xfId="0" applyNumberFormat="1" applyFont="1" applyFill="1" applyBorder="1" applyAlignment="1">
      <alignment horizontal="right" vertical="center"/>
    </xf>
    <xf numFmtId="3" fontId="15" fillId="5" borderId="10" xfId="0" applyNumberFormat="1" applyFont="1" applyFill="1" applyBorder="1" applyAlignment="1">
      <alignment horizontal="right" vertical="center"/>
    </xf>
    <xf numFmtId="3" fontId="15" fillId="5" borderId="11" xfId="0" applyNumberFormat="1" applyFont="1" applyFill="1" applyBorder="1" applyAlignment="1">
      <alignment horizontal="right" vertical="center"/>
    </xf>
    <xf numFmtId="0" fontId="7" fillId="4" borderId="51" xfId="0" applyFont="1" applyFill="1" applyBorder="1" applyAlignment="1">
      <alignment horizontal="center" vertical="center"/>
    </xf>
    <xf numFmtId="3" fontId="11" fillId="4" borderId="43" xfId="0" applyNumberFormat="1" applyFont="1" applyFill="1" applyBorder="1" applyAlignment="1">
      <alignment horizontal="right" vertical="center"/>
    </xf>
    <xf numFmtId="3" fontId="7" fillId="0" borderId="36" xfId="0" applyNumberFormat="1" applyFont="1" applyBorder="1" applyAlignment="1">
      <alignment horizontal="right" vertical="center"/>
    </xf>
    <xf numFmtId="0" fontId="0" fillId="0" borderId="0" xfId="0" applyFont="1" applyAlignment="1"/>
    <xf numFmtId="0" fontId="21" fillId="0" borderId="13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3" fontId="7" fillId="0" borderId="38" xfId="0" applyNumberFormat="1" applyFont="1" applyBorder="1" applyAlignment="1">
      <alignment horizontal="right" vertical="center"/>
    </xf>
    <xf numFmtId="3" fontId="7" fillId="0" borderId="39" xfId="0" applyNumberFormat="1" applyFont="1" applyBorder="1" applyAlignment="1">
      <alignment horizontal="right" vertical="center"/>
    </xf>
    <xf numFmtId="3" fontId="7" fillId="0" borderId="40" xfId="0" applyNumberFormat="1" applyFont="1" applyBorder="1" applyAlignment="1">
      <alignment horizontal="right" vertical="center"/>
    </xf>
    <xf numFmtId="0" fontId="0" fillId="0" borderId="0" xfId="0" applyFont="1" applyAlignment="1"/>
    <xf numFmtId="0" fontId="16" fillId="3" borderId="46" xfId="0" applyFont="1" applyFill="1" applyBorder="1" applyAlignment="1">
      <alignment horizontal="left" vertical="center"/>
    </xf>
    <xf numFmtId="0" fontId="25" fillId="5" borderId="8" xfId="0" applyFont="1" applyFill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5" fillId="4" borderId="43" xfId="0" applyFont="1" applyFill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3" borderId="31" xfId="0" applyFont="1" applyFill="1" applyBorder="1" applyAlignment="1">
      <alignment vertical="center"/>
    </xf>
    <xf numFmtId="0" fontId="7" fillId="4" borderId="46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7" fillId="5" borderId="31" xfId="0" applyFont="1" applyFill="1" applyBorder="1" applyAlignment="1">
      <alignment vertical="center"/>
    </xf>
    <xf numFmtId="0" fontId="7" fillId="5" borderId="38" xfId="0" applyFont="1" applyFill="1" applyBorder="1" applyAlignment="1">
      <alignment vertical="center"/>
    </xf>
    <xf numFmtId="0" fontId="14" fillId="5" borderId="43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vertical="center"/>
    </xf>
    <xf numFmtId="0" fontId="9" fillId="5" borderId="43" xfId="0" applyFont="1" applyFill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7" fillId="9" borderId="31" xfId="0" applyFont="1" applyFill="1" applyBorder="1" applyAlignment="1">
      <alignment vertical="center"/>
    </xf>
    <xf numFmtId="0" fontId="30" fillId="4" borderId="56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vertical="center"/>
    </xf>
    <xf numFmtId="0" fontId="7" fillId="5" borderId="54" xfId="0" applyFont="1" applyFill="1" applyBorder="1" applyAlignment="1">
      <alignment horizontal="center" vertical="center"/>
    </xf>
    <xf numFmtId="0" fontId="7" fillId="0" borderId="54" xfId="0" applyFont="1" applyBorder="1" applyAlignment="1">
      <alignment vertical="center"/>
    </xf>
    <xf numFmtId="0" fontId="7" fillId="6" borderId="54" xfId="0" applyFont="1" applyFill="1" applyBorder="1" applyAlignment="1">
      <alignment vertical="center"/>
    </xf>
    <xf numFmtId="0" fontId="7" fillId="7" borderId="54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9" fillId="5" borderId="54" xfId="0" applyFont="1" applyFill="1" applyBorder="1" applyAlignment="1">
      <alignment horizontal="center" vertical="center"/>
    </xf>
    <xf numFmtId="0" fontId="7" fillId="8" borderId="54" xfId="0" applyFont="1" applyFill="1" applyBorder="1" applyAlignment="1">
      <alignment vertical="center"/>
    </xf>
    <xf numFmtId="0" fontId="7" fillId="9" borderId="54" xfId="0" applyFont="1" applyFill="1" applyBorder="1" applyAlignment="1">
      <alignment vertical="center"/>
    </xf>
    <xf numFmtId="0" fontId="3" fillId="0" borderId="54" xfId="0" applyFont="1" applyBorder="1"/>
    <xf numFmtId="0" fontId="14" fillId="5" borderId="54" xfId="0" applyFont="1" applyFill="1" applyBorder="1" applyAlignment="1">
      <alignment horizontal="center" vertical="center"/>
    </xf>
    <xf numFmtId="0" fontId="24" fillId="0" borderId="0" xfId="0" applyFont="1" applyAlignment="1"/>
    <xf numFmtId="3" fontId="20" fillId="6" borderId="32" xfId="0" applyNumberFormat="1" applyFont="1" applyFill="1" applyBorder="1" applyAlignment="1">
      <alignment horizontal="right" vertical="center"/>
    </xf>
    <xf numFmtId="3" fontId="20" fillId="6" borderId="39" xfId="0" applyNumberFormat="1" applyFont="1" applyFill="1" applyBorder="1" applyAlignment="1">
      <alignment horizontal="right" vertical="center"/>
    </xf>
    <xf numFmtId="0" fontId="31" fillId="0" borderId="46" xfId="0" applyFont="1" applyBorder="1"/>
    <xf numFmtId="0" fontId="0" fillId="0" borderId="0" xfId="0" applyFont="1" applyAlignment="1"/>
    <xf numFmtId="0" fontId="32" fillId="0" borderId="0" xfId="0" applyFont="1" applyAlignment="1"/>
    <xf numFmtId="0" fontId="23" fillId="0" borderId="0" xfId="0" applyFont="1" applyAlignment="1"/>
    <xf numFmtId="0" fontId="7" fillId="10" borderId="12" xfId="0" applyFont="1" applyFill="1" applyBorder="1" applyAlignment="1">
      <alignment horizontal="left" vertical="center"/>
    </xf>
    <xf numFmtId="0" fontId="7" fillId="10" borderId="13" xfId="0" applyFont="1" applyFill="1" applyBorder="1" applyAlignment="1">
      <alignment vertical="center"/>
    </xf>
    <xf numFmtId="0" fontId="20" fillId="10" borderId="12" xfId="0" applyFont="1" applyFill="1" applyBorder="1" applyAlignment="1">
      <alignment horizontal="left" vertical="center"/>
    </xf>
    <xf numFmtId="0" fontId="8" fillId="11" borderId="22" xfId="0" applyFont="1" applyFill="1" applyBorder="1" applyAlignment="1">
      <alignment vertical="center"/>
    </xf>
    <xf numFmtId="0" fontId="7" fillId="11" borderId="22" xfId="0" applyFont="1" applyFill="1" applyBorder="1" applyAlignment="1">
      <alignment vertical="center"/>
    </xf>
    <xf numFmtId="0" fontId="21" fillId="11" borderId="22" xfId="0" applyFont="1" applyFill="1" applyBorder="1" applyAlignment="1">
      <alignment vertical="center"/>
    </xf>
    <xf numFmtId="0" fontId="33" fillId="0" borderId="12" xfId="0" applyFont="1" applyBorder="1" applyAlignment="1">
      <alignment horizontal="left" vertical="center"/>
    </xf>
    <xf numFmtId="0" fontId="34" fillId="3" borderId="22" xfId="0" applyFont="1" applyFill="1" applyBorder="1" applyAlignment="1">
      <alignment vertical="center"/>
    </xf>
    <xf numFmtId="0" fontId="35" fillId="3" borderId="22" xfId="0" applyFont="1" applyFill="1" applyBorder="1" applyAlignment="1">
      <alignment vertical="center"/>
    </xf>
    <xf numFmtId="0" fontId="36" fillId="0" borderId="0" xfId="0" applyFont="1" applyAlignment="1"/>
    <xf numFmtId="0" fontId="7" fillId="12" borderId="21" xfId="0" applyFont="1" applyFill="1" applyBorder="1" applyAlignment="1">
      <alignment horizontal="left" vertical="center"/>
    </xf>
    <xf numFmtId="0" fontId="8" fillId="12" borderId="22" xfId="0" applyFont="1" applyFill="1" applyBorder="1" applyAlignment="1">
      <alignment vertical="center"/>
    </xf>
    <xf numFmtId="0" fontId="7" fillId="12" borderId="22" xfId="0" applyFont="1" applyFill="1" applyBorder="1" applyAlignment="1">
      <alignment vertical="center"/>
    </xf>
    <xf numFmtId="0" fontId="21" fillId="12" borderId="22" xfId="0" applyFont="1" applyFill="1" applyBorder="1" applyAlignment="1">
      <alignment vertical="center"/>
    </xf>
    <xf numFmtId="0" fontId="22" fillId="13" borderId="0" xfId="0" applyFont="1" applyFill="1" applyAlignment="1">
      <alignment vertical="top"/>
    </xf>
    <xf numFmtId="0" fontId="7" fillId="14" borderId="21" xfId="0" applyFont="1" applyFill="1" applyBorder="1" applyAlignment="1">
      <alignment horizontal="left" vertical="center"/>
    </xf>
    <xf numFmtId="0" fontId="21" fillId="14" borderId="22" xfId="0" applyFont="1" applyFill="1" applyBorder="1" applyAlignment="1">
      <alignment vertical="center"/>
    </xf>
    <xf numFmtId="0" fontId="7" fillId="14" borderId="22" xfId="0" applyFont="1" applyFill="1" applyBorder="1" applyAlignment="1">
      <alignment vertical="center"/>
    </xf>
    <xf numFmtId="0" fontId="7" fillId="15" borderId="21" xfId="0" applyFont="1" applyFill="1" applyBorder="1" applyAlignment="1">
      <alignment horizontal="left" vertical="center"/>
    </xf>
    <xf numFmtId="0" fontId="8" fillId="15" borderId="22" xfId="0" applyFont="1" applyFill="1" applyBorder="1" applyAlignment="1">
      <alignment vertical="center"/>
    </xf>
    <xf numFmtId="0" fontId="7" fillId="15" borderId="22" xfId="0" applyFont="1" applyFill="1" applyBorder="1" applyAlignment="1">
      <alignment vertical="center"/>
    </xf>
    <xf numFmtId="0" fontId="7" fillId="15" borderId="46" xfId="0" applyFont="1" applyFill="1" applyBorder="1" applyAlignment="1">
      <alignment vertical="center"/>
    </xf>
    <xf numFmtId="0" fontId="7" fillId="8" borderId="46" xfId="0" applyFont="1" applyFill="1" applyBorder="1" applyAlignment="1">
      <alignment vertical="center"/>
    </xf>
    <xf numFmtId="3" fontId="7" fillId="8" borderId="46" xfId="0" applyNumberFormat="1" applyFont="1" applyFill="1" applyBorder="1" applyAlignment="1">
      <alignment horizontal="right" vertical="center"/>
    </xf>
    <xf numFmtId="3" fontId="7" fillId="8" borderId="57" xfId="0" applyNumberFormat="1" applyFont="1" applyFill="1" applyBorder="1" applyAlignment="1">
      <alignment horizontal="right" vertical="center"/>
    </xf>
    <xf numFmtId="3" fontId="7" fillId="8" borderId="58" xfId="0" applyNumberFormat="1" applyFont="1" applyFill="1" applyBorder="1" applyAlignment="1">
      <alignment horizontal="right" vertical="center"/>
    </xf>
    <xf numFmtId="0" fontId="20" fillId="15" borderId="42" xfId="0" applyFont="1" applyFill="1" applyBorder="1" applyAlignment="1">
      <alignment horizontal="left" vertical="center"/>
    </xf>
    <xf numFmtId="0" fontId="21" fillId="15" borderId="46" xfId="0" applyFont="1" applyFill="1" applyBorder="1" applyAlignment="1">
      <alignment vertical="center"/>
    </xf>
    <xf numFmtId="3" fontId="9" fillId="10" borderId="18" xfId="0" applyNumberFormat="1" applyFont="1" applyFill="1" applyBorder="1" applyAlignment="1">
      <alignment horizontal="right" vertical="center"/>
    </xf>
    <xf numFmtId="0" fontId="12" fillId="10" borderId="25" xfId="0" applyFont="1" applyFill="1" applyBorder="1" applyAlignment="1">
      <alignment horizontal="left" vertical="center" wrapText="1"/>
    </xf>
    <xf numFmtId="0" fontId="7" fillId="10" borderId="25" xfId="0" applyFont="1" applyFill="1" applyBorder="1" applyAlignment="1">
      <alignment horizontal="left" vertical="center" wrapText="1"/>
    </xf>
    <xf numFmtId="0" fontId="20" fillId="10" borderId="25" xfId="0" applyFont="1" applyFill="1" applyBorder="1" applyAlignment="1">
      <alignment horizontal="left" vertical="center"/>
    </xf>
    <xf numFmtId="0" fontId="20" fillId="14" borderId="16" xfId="0" applyFont="1" applyFill="1" applyBorder="1" applyAlignment="1">
      <alignment horizontal="left" vertical="center"/>
    </xf>
    <xf numFmtId="0" fontId="7" fillId="14" borderId="31" xfId="0" applyFont="1" applyFill="1" applyBorder="1" applyAlignment="1">
      <alignment vertical="center"/>
    </xf>
    <xf numFmtId="0" fontId="7" fillId="12" borderId="16" xfId="0" applyFont="1" applyFill="1" applyBorder="1" applyAlignment="1">
      <alignment horizontal="left" vertical="center"/>
    </xf>
    <xf numFmtId="0" fontId="7" fillId="12" borderId="31" xfId="0" applyFont="1" applyFill="1" applyBorder="1" applyAlignment="1">
      <alignment vertical="center"/>
    </xf>
    <xf numFmtId="0" fontId="20" fillId="16" borderId="16" xfId="0" applyFont="1" applyFill="1" applyBorder="1" applyAlignment="1">
      <alignment horizontal="left" vertical="center"/>
    </xf>
    <xf numFmtId="0" fontId="8" fillId="16" borderId="22" xfId="0" applyFont="1" applyFill="1" applyBorder="1" applyAlignment="1">
      <alignment vertical="center"/>
    </xf>
    <xf numFmtId="0" fontId="7" fillId="16" borderId="22" xfId="0" applyFont="1" applyFill="1" applyBorder="1" applyAlignment="1">
      <alignment vertical="center"/>
    </xf>
    <xf numFmtId="0" fontId="7" fillId="16" borderId="31" xfId="0" applyFont="1" applyFill="1" applyBorder="1" applyAlignment="1">
      <alignment vertical="center"/>
    </xf>
    <xf numFmtId="0" fontId="7" fillId="10" borderId="25" xfId="0" applyFont="1" applyFill="1" applyBorder="1" applyAlignment="1">
      <alignment horizontal="left" vertical="center"/>
    </xf>
    <xf numFmtId="0" fontId="7" fillId="10" borderId="31" xfId="0" applyFont="1" applyFill="1" applyBorder="1" applyAlignment="1">
      <alignment vertical="center"/>
    </xf>
    <xf numFmtId="0" fontId="7" fillId="15" borderId="16" xfId="0" applyFont="1" applyFill="1" applyBorder="1" applyAlignment="1">
      <alignment horizontal="left" vertical="center"/>
    </xf>
    <xf numFmtId="0" fontId="21" fillId="15" borderId="22" xfId="0" applyFont="1" applyFill="1" applyBorder="1" applyAlignment="1">
      <alignment vertical="center"/>
    </xf>
    <xf numFmtId="0" fontId="7" fillId="15" borderId="31" xfId="0" applyFont="1" applyFill="1" applyBorder="1" applyAlignment="1">
      <alignment vertical="center"/>
    </xf>
    <xf numFmtId="0" fontId="37" fillId="0" borderId="0" xfId="0" applyFont="1" applyAlignment="1"/>
    <xf numFmtId="0" fontId="17" fillId="4" borderId="60" xfId="0" applyFont="1" applyFill="1" applyBorder="1" applyAlignment="1">
      <alignment horizontal="left" vertical="center" wrapText="1"/>
    </xf>
    <xf numFmtId="3" fontId="9" fillId="0" borderId="62" xfId="0" applyNumberFormat="1" applyFont="1" applyBorder="1" applyAlignment="1">
      <alignment horizontal="right" vertical="center"/>
    </xf>
    <xf numFmtId="3" fontId="9" fillId="0" borderId="63" xfId="0" applyNumberFormat="1" applyFont="1" applyBorder="1" applyAlignment="1">
      <alignment horizontal="right" vertical="center"/>
    </xf>
    <xf numFmtId="3" fontId="11" fillId="4" borderId="6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left" vertical="center"/>
    </xf>
    <xf numFmtId="0" fontId="3" fillId="0" borderId="5" xfId="0" applyFont="1" applyBorder="1" applyAlignment="1"/>
    <xf numFmtId="0" fontId="3" fillId="0" borderId="46" xfId="0" applyFont="1" applyBorder="1" applyAlignment="1"/>
    <xf numFmtId="0" fontId="38" fillId="0" borderId="6" xfId="0" applyFont="1" applyBorder="1" applyAlignment="1"/>
    <xf numFmtId="0" fontId="39" fillId="0" borderId="0" xfId="0" applyFont="1" applyAlignment="1">
      <alignment horizontal="left" vertical="center"/>
    </xf>
    <xf numFmtId="0" fontId="7" fillId="11" borderId="31" xfId="0" applyFont="1" applyFill="1" applyBorder="1" applyAlignment="1">
      <alignment vertical="center"/>
    </xf>
    <xf numFmtId="3" fontId="7" fillId="0" borderId="31" xfId="0" applyNumberFormat="1" applyFont="1" applyBorder="1" applyAlignment="1">
      <alignment horizontal="right" vertical="center"/>
    </xf>
    <xf numFmtId="3" fontId="7" fillId="0" borderId="32" xfId="0" applyNumberFormat="1" applyFont="1" applyBorder="1" applyAlignment="1">
      <alignment horizontal="right" vertical="center"/>
    </xf>
    <xf numFmtId="0" fontId="8" fillId="16" borderId="31" xfId="0" applyFont="1" applyFill="1" applyBorder="1" applyAlignment="1">
      <alignment vertical="center"/>
    </xf>
    <xf numFmtId="3" fontId="7" fillId="0" borderId="41" xfId="0" applyNumberFormat="1" applyFont="1" applyBorder="1" applyAlignment="1">
      <alignment horizontal="right" vertical="center"/>
    </xf>
    <xf numFmtId="0" fontId="6" fillId="4" borderId="43" xfId="0" applyFont="1" applyFill="1" applyBorder="1" applyAlignment="1">
      <alignment horizontal="center" vertical="center"/>
    </xf>
    <xf numFmtId="0" fontId="28" fillId="0" borderId="46" xfId="0" applyFont="1" applyBorder="1" applyAlignment="1">
      <alignment horizontal="left" vertical="center" wrapText="1"/>
    </xf>
    <xf numFmtId="165" fontId="5" fillId="4" borderId="43" xfId="0" applyNumberFormat="1" applyFont="1" applyFill="1" applyBorder="1" applyAlignment="1">
      <alignment horizontal="center" vertical="center"/>
    </xf>
    <xf numFmtId="3" fontId="7" fillId="5" borderId="31" xfId="0" applyNumberFormat="1" applyFont="1" applyFill="1" applyBorder="1" applyAlignment="1">
      <alignment horizontal="right" vertical="center"/>
    </xf>
    <xf numFmtId="0" fontId="42" fillId="0" borderId="46" xfId="0" applyFont="1" applyBorder="1"/>
    <xf numFmtId="16" fontId="43" fillId="0" borderId="55" xfId="0" applyNumberFormat="1" applyFont="1" applyBorder="1" applyAlignment="1">
      <alignment horizontal="center"/>
    </xf>
    <xf numFmtId="0" fontId="28" fillId="0" borderId="46" xfId="0" applyFont="1" applyBorder="1"/>
    <xf numFmtId="0" fontId="31" fillId="0" borderId="46" xfId="0" applyFont="1" applyBorder="1" applyAlignment="1">
      <alignment vertical="center"/>
    </xf>
    <xf numFmtId="0" fontId="44" fillId="0" borderId="46" xfId="0" applyFont="1" applyBorder="1"/>
    <xf numFmtId="0" fontId="44" fillId="0" borderId="46" xfId="0" applyFont="1" applyBorder="1" applyAlignment="1">
      <alignment vertical="center"/>
    </xf>
    <xf numFmtId="0" fontId="28" fillId="0" borderId="46" xfId="0" applyFont="1" applyBorder="1" applyAlignment="1">
      <alignment vertical="center"/>
    </xf>
    <xf numFmtId="0" fontId="45" fillId="0" borderId="46" xfId="0" applyFont="1" applyBorder="1" applyAlignment="1">
      <alignment horizontal="center" vertical="center"/>
    </xf>
    <xf numFmtId="0" fontId="41" fillId="17" borderId="63" xfId="0" applyFont="1" applyFill="1" applyBorder="1" applyAlignment="1">
      <alignment horizontal="center" vertical="center"/>
    </xf>
    <xf numFmtId="0" fontId="46" fillId="0" borderId="46" xfId="0" applyFont="1" applyBorder="1" applyAlignment="1">
      <alignment horizontal="center" vertical="center"/>
    </xf>
    <xf numFmtId="14" fontId="45" fillId="17" borderId="67" xfId="0" applyNumberFormat="1" applyFont="1" applyFill="1" applyBorder="1" applyAlignment="1">
      <alignment horizontal="center" vertical="center"/>
    </xf>
    <xf numFmtId="0" fontId="47" fillId="0" borderId="46" xfId="0" applyFont="1" applyBorder="1" applyAlignment="1">
      <alignment vertical="center"/>
    </xf>
    <xf numFmtId="0" fontId="45" fillId="17" borderId="68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17" borderId="52" xfId="0" applyFont="1" applyFill="1" applyBorder="1" applyAlignment="1">
      <alignment vertical="center"/>
    </xf>
    <xf numFmtId="0" fontId="45" fillId="17" borderId="53" xfId="0" applyFont="1" applyFill="1" applyBorder="1" applyAlignment="1">
      <alignment horizontal="center" vertical="center"/>
    </xf>
    <xf numFmtId="169" fontId="31" fillId="17" borderId="69" xfId="0" applyNumberFormat="1" applyFont="1" applyFill="1" applyBorder="1" applyAlignment="1">
      <alignment vertical="center"/>
    </xf>
    <xf numFmtId="169" fontId="44" fillId="0" borderId="67" xfId="0" applyNumberFormat="1" applyFont="1" applyBorder="1" applyAlignment="1">
      <alignment vertical="center"/>
    </xf>
    <xf numFmtId="0" fontId="31" fillId="18" borderId="46" xfId="0" applyFont="1" applyFill="1" applyBorder="1" applyAlignment="1">
      <alignment horizontal="center" vertical="center"/>
    </xf>
    <xf numFmtId="0" fontId="45" fillId="18" borderId="46" xfId="0" applyFont="1" applyFill="1" applyBorder="1" applyAlignment="1">
      <alignment horizontal="center" vertical="center"/>
    </xf>
    <xf numFmtId="0" fontId="31" fillId="18" borderId="67" xfId="0" applyFont="1" applyFill="1" applyBorder="1" applyAlignment="1">
      <alignment horizontal="center" vertical="center"/>
    </xf>
    <xf numFmtId="0" fontId="48" fillId="0" borderId="46" xfId="0" applyFont="1" applyBorder="1" applyAlignment="1">
      <alignment horizontal="center"/>
    </xf>
    <xf numFmtId="169" fontId="44" fillId="0" borderId="67" xfId="0" applyNumberFormat="1" applyFont="1" applyBorder="1"/>
    <xf numFmtId="0" fontId="45" fillId="0" borderId="46" xfId="0" applyFont="1" applyBorder="1" applyAlignment="1">
      <alignment horizontal="center"/>
    </xf>
    <xf numFmtId="169" fontId="44" fillId="0" borderId="67" xfId="1" applyNumberFormat="1" applyFont="1" applyBorder="1"/>
    <xf numFmtId="169" fontId="44" fillId="0" borderId="67" xfId="1" applyNumberFormat="1" applyFont="1" applyFill="1" applyBorder="1"/>
    <xf numFmtId="0" fontId="44" fillId="0" borderId="46" xfId="0" quotePrefix="1" applyFont="1" applyBorder="1"/>
    <xf numFmtId="0" fontId="48" fillId="0" borderId="46" xfId="0" quotePrefix="1" applyFont="1" applyBorder="1" applyAlignment="1">
      <alignment horizontal="center"/>
    </xf>
    <xf numFmtId="0" fontId="31" fillId="18" borderId="46" xfId="0" applyFont="1" applyFill="1" applyBorder="1" applyAlignment="1">
      <alignment horizontal="right"/>
    </xf>
    <xf numFmtId="0" fontId="45" fillId="18" borderId="46" xfId="0" quotePrefix="1" applyFont="1" applyFill="1" applyBorder="1" applyAlignment="1">
      <alignment horizontal="center"/>
    </xf>
    <xf numFmtId="0" fontId="31" fillId="19" borderId="46" xfId="0" applyFont="1" applyFill="1" applyBorder="1" applyAlignment="1">
      <alignment horizontal="center" vertical="center"/>
    </xf>
    <xf numFmtId="0" fontId="45" fillId="19" borderId="46" xfId="0" applyFont="1" applyFill="1" applyBorder="1" applyAlignment="1">
      <alignment horizontal="center" vertical="center"/>
    </xf>
    <xf numFmtId="0" fontId="31" fillId="19" borderId="67" xfId="0" applyFont="1" applyFill="1" applyBorder="1" applyAlignment="1">
      <alignment horizontal="center" vertical="center"/>
    </xf>
    <xf numFmtId="0" fontId="44" fillId="0" borderId="46" xfId="0" applyFont="1" applyFill="1" applyBorder="1"/>
    <xf numFmtId="0" fontId="48" fillId="0" borderId="46" xfId="0" applyFont="1" applyFill="1" applyBorder="1" applyAlignment="1">
      <alignment horizontal="center"/>
    </xf>
    <xf numFmtId="0" fontId="31" fillId="19" borderId="46" xfId="0" applyFont="1" applyFill="1" applyBorder="1" applyAlignment="1">
      <alignment horizontal="right"/>
    </xf>
    <xf numFmtId="0" fontId="45" fillId="19" borderId="46" xfId="0" quotePrefix="1" applyFont="1" applyFill="1" applyBorder="1" applyAlignment="1">
      <alignment horizontal="center"/>
    </xf>
    <xf numFmtId="0" fontId="31" fillId="20" borderId="46" xfId="0" applyFont="1" applyFill="1" applyBorder="1" applyAlignment="1">
      <alignment horizontal="right"/>
    </xf>
    <xf numFmtId="0" fontId="45" fillId="20" borderId="46" xfId="0" quotePrefix="1" applyFont="1" applyFill="1" applyBorder="1" applyAlignment="1">
      <alignment horizontal="center"/>
    </xf>
    <xf numFmtId="169" fontId="31" fillId="20" borderId="67" xfId="0" applyNumberFormat="1" applyFont="1" applyFill="1" applyBorder="1"/>
    <xf numFmtId="169" fontId="44" fillId="0" borderId="46" xfId="0" applyNumberFormat="1" applyFont="1" applyBorder="1"/>
    <xf numFmtId="0" fontId="0" fillId="0" borderId="0" xfId="0"/>
    <xf numFmtId="0" fontId="3" fillId="0" borderId="5" xfId="0" applyFont="1" applyBorder="1"/>
    <xf numFmtId="0" fontId="38" fillId="0" borderId="46" xfId="0" applyFont="1" applyBorder="1"/>
    <xf numFmtId="0" fontId="3" fillId="0" borderId="46" xfId="0" applyFont="1" applyBorder="1"/>
    <xf numFmtId="0" fontId="28" fillId="0" borderId="46" xfId="0" applyFont="1" applyBorder="1" applyAlignment="1">
      <alignment horizontal="left" vertical="center"/>
    </xf>
    <xf numFmtId="0" fontId="5" fillId="4" borderId="70" xfId="0" applyFont="1" applyFill="1" applyBorder="1" applyAlignment="1">
      <alignment horizontal="left" vertical="center"/>
    </xf>
    <xf numFmtId="0" fontId="49" fillId="4" borderId="43" xfId="0" applyFont="1" applyFill="1" applyBorder="1" applyAlignment="1">
      <alignment horizontal="center" vertical="center"/>
    </xf>
    <xf numFmtId="0" fontId="49" fillId="4" borderId="43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left" vertical="center"/>
    </xf>
    <xf numFmtId="0" fontId="7" fillId="0" borderId="48" xfId="0" applyFont="1" applyBorder="1" applyAlignment="1">
      <alignment vertical="center"/>
    </xf>
    <xf numFmtId="0" fontId="7" fillId="3" borderId="25" xfId="0" applyFont="1" applyFill="1" applyBorder="1" applyAlignment="1">
      <alignment horizontal="left" vertical="center"/>
    </xf>
    <xf numFmtId="3" fontId="7" fillId="21" borderId="19" xfId="0" applyNumberFormat="1" applyFont="1" applyFill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0" fontId="8" fillId="3" borderId="38" xfId="0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25" fillId="5" borderId="43" xfId="0" applyFont="1" applyFill="1" applyBorder="1" applyAlignment="1">
      <alignment vertical="center"/>
    </xf>
    <xf numFmtId="0" fontId="10" fillId="5" borderId="43" xfId="0" applyFont="1" applyFill="1" applyBorder="1" applyAlignment="1">
      <alignment vertical="center"/>
    </xf>
    <xf numFmtId="0" fontId="7" fillId="5" borderId="43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20" fillId="10" borderId="21" xfId="0" applyFont="1" applyFill="1" applyBorder="1" applyAlignment="1">
      <alignment horizontal="left" vertical="center"/>
    </xf>
    <xf numFmtId="0" fontId="8" fillId="11" borderId="31" xfId="0" applyFont="1" applyFill="1" applyBorder="1" applyAlignment="1">
      <alignment vertical="center"/>
    </xf>
    <xf numFmtId="0" fontId="21" fillId="11" borderId="31" xfId="0" applyFont="1" applyFill="1" applyBorder="1" applyAlignment="1">
      <alignment vertical="center"/>
    </xf>
    <xf numFmtId="0" fontId="21" fillId="14" borderId="31" xfId="0" applyFont="1" applyFill="1" applyBorder="1" applyAlignment="1">
      <alignment vertical="center"/>
    </xf>
    <xf numFmtId="0" fontId="7" fillId="6" borderId="31" xfId="0" applyFont="1" applyFill="1" applyBorder="1" applyAlignment="1">
      <alignment vertical="center"/>
    </xf>
    <xf numFmtId="0" fontId="50" fillId="0" borderId="0" xfId="0" applyFont="1"/>
    <xf numFmtId="0" fontId="51" fillId="0" borderId="0" xfId="0" applyFont="1"/>
    <xf numFmtId="0" fontId="21" fillId="12" borderId="31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8" fillId="15" borderId="31" xfId="0" applyFont="1" applyFill="1" applyBorder="1" applyAlignment="1">
      <alignment vertical="center"/>
    </xf>
    <xf numFmtId="0" fontId="7" fillId="8" borderId="31" xfId="0" applyFont="1" applyFill="1" applyBorder="1" applyAlignment="1">
      <alignment vertical="center"/>
    </xf>
    <xf numFmtId="0" fontId="25" fillId="4" borderId="43" xfId="0" applyFont="1" applyFill="1" applyBorder="1" applyAlignment="1">
      <alignment vertical="center"/>
    </xf>
    <xf numFmtId="0" fontId="10" fillId="4" borderId="43" xfId="0" applyFont="1" applyFill="1" applyBorder="1" applyAlignment="1">
      <alignment vertical="center"/>
    </xf>
    <xf numFmtId="3" fontId="9" fillId="21" borderId="18" xfId="0" applyNumberFormat="1" applyFont="1" applyFill="1" applyBorder="1" applyAlignment="1">
      <alignment horizontal="right" vertical="center"/>
    </xf>
    <xf numFmtId="3" fontId="7" fillId="21" borderId="18" xfId="0" applyNumberFormat="1" applyFont="1" applyFill="1" applyBorder="1" applyAlignment="1">
      <alignment horizontal="right" vertical="center"/>
    </xf>
    <xf numFmtId="0" fontId="21" fillId="0" borderId="31" xfId="0" applyFont="1" applyBorder="1" applyAlignment="1">
      <alignment vertical="center"/>
    </xf>
    <xf numFmtId="0" fontId="7" fillId="9" borderId="25" xfId="0" applyFont="1" applyFill="1" applyBorder="1" applyAlignment="1">
      <alignment horizontal="left" vertical="center" wrapText="1"/>
    </xf>
    <xf numFmtId="0" fontId="8" fillId="9" borderId="31" xfId="0" applyFont="1" applyFill="1" applyBorder="1" applyAlignment="1">
      <alignment vertical="center"/>
    </xf>
    <xf numFmtId="0" fontId="20" fillId="14" borderId="25" xfId="0" applyFont="1" applyFill="1" applyBorder="1" applyAlignment="1">
      <alignment horizontal="left" vertical="center"/>
    </xf>
    <xf numFmtId="0" fontId="7" fillId="12" borderId="25" xfId="0" applyFont="1" applyFill="1" applyBorder="1" applyAlignment="1">
      <alignment horizontal="left" vertical="center"/>
    </xf>
    <xf numFmtId="0" fontId="8" fillId="12" borderId="31" xfId="0" applyFont="1" applyFill="1" applyBorder="1" applyAlignment="1">
      <alignment vertical="center"/>
    </xf>
    <xf numFmtId="0" fontId="20" fillId="16" borderId="25" xfId="0" applyFont="1" applyFill="1" applyBorder="1" applyAlignment="1">
      <alignment horizontal="left" vertical="center"/>
    </xf>
    <xf numFmtId="0" fontId="21" fillId="16" borderId="31" xfId="0" applyFont="1" applyFill="1" applyBorder="1" applyAlignment="1">
      <alignment vertical="center"/>
    </xf>
    <xf numFmtId="0" fontId="7" fillId="15" borderId="25" xfId="0" applyFont="1" applyFill="1" applyBorder="1" applyAlignment="1">
      <alignment horizontal="left" vertical="center"/>
    </xf>
    <xf numFmtId="0" fontId="21" fillId="15" borderId="31" xfId="0" applyFont="1" applyFill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13" fillId="5" borderId="43" xfId="0" applyFont="1" applyFill="1" applyBorder="1" applyAlignment="1">
      <alignment vertical="center"/>
    </xf>
    <xf numFmtId="3" fontId="9" fillId="21" borderId="62" xfId="0" applyNumberFormat="1" applyFont="1" applyFill="1" applyBorder="1" applyAlignment="1">
      <alignment horizontal="right" vertical="center"/>
    </xf>
    <xf numFmtId="3" fontId="52" fillId="22" borderId="64" xfId="0" applyNumberFormat="1" applyFont="1" applyFill="1" applyBorder="1" applyAlignment="1">
      <alignment horizontal="right" vertical="center"/>
    </xf>
    <xf numFmtId="3" fontId="11" fillId="22" borderId="64" xfId="0" applyNumberFormat="1" applyFont="1" applyFill="1" applyBorder="1" applyAlignment="1">
      <alignment horizontal="right" vertical="center"/>
    </xf>
    <xf numFmtId="0" fontId="53" fillId="2" borderId="21" xfId="0" applyFont="1" applyFill="1" applyBorder="1" applyAlignment="1">
      <alignment horizontal="left" vertical="center"/>
    </xf>
    <xf numFmtId="0" fontId="21" fillId="2" borderId="31" xfId="0" applyFont="1" applyFill="1" applyBorder="1" applyAlignment="1">
      <alignment vertical="center"/>
    </xf>
    <xf numFmtId="0" fontId="20" fillId="0" borderId="25" xfId="0" applyFont="1" applyBorder="1" applyAlignment="1">
      <alignment horizontal="left" vertical="center"/>
    </xf>
    <xf numFmtId="0" fontId="45" fillId="0" borderId="63" xfId="0" applyFont="1" applyBorder="1" applyAlignment="1">
      <alignment horizontal="center" vertical="center"/>
    </xf>
    <xf numFmtId="0" fontId="54" fillId="0" borderId="67" xfId="0" applyFont="1" applyBorder="1" applyAlignment="1">
      <alignment horizontal="center" vertical="center"/>
    </xf>
    <xf numFmtId="17" fontId="54" fillId="0" borderId="68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vertical="center"/>
    </xf>
    <xf numFmtId="169" fontId="48" fillId="0" borderId="46" xfId="0" applyNumberFormat="1" applyFont="1" applyBorder="1" applyAlignment="1">
      <alignment horizontal="center"/>
    </xf>
    <xf numFmtId="169" fontId="44" fillId="0" borderId="46" xfId="0" applyNumberFormat="1" applyFont="1" applyBorder="1" applyAlignment="1">
      <alignment horizontal="center"/>
    </xf>
    <xf numFmtId="0" fontId="45" fillId="0" borderId="63" xfId="0" applyFont="1" applyBorder="1" applyAlignment="1">
      <alignment horizontal="right" vertical="center"/>
    </xf>
    <xf numFmtId="169" fontId="44" fillId="0" borderId="67" xfId="0" applyNumberFormat="1" applyFont="1" applyBorder="1" applyAlignment="1">
      <alignment horizontal="right" vertical="center"/>
    </xf>
    <xf numFmtId="169" fontId="44" fillId="19" borderId="67" xfId="0" applyNumberFormat="1" applyFont="1" applyFill="1" applyBorder="1" applyAlignment="1">
      <alignment horizontal="right" vertical="center"/>
    </xf>
    <xf numFmtId="169" fontId="44" fillId="0" borderId="67" xfId="0" applyNumberFormat="1" applyFont="1" applyBorder="1" applyAlignment="1">
      <alignment horizontal="right"/>
    </xf>
    <xf numFmtId="169" fontId="44" fillId="0" borderId="67" xfId="0" applyNumberFormat="1" applyFont="1" applyFill="1" applyBorder="1" applyAlignment="1">
      <alignment horizontal="right"/>
    </xf>
    <xf numFmtId="169" fontId="44" fillId="18" borderId="67" xfId="0" applyNumberFormat="1" applyFont="1" applyFill="1" applyBorder="1" applyAlignment="1">
      <alignment horizontal="right" vertical="center"/>
    </xf>
    <xf numFmtId="169" fontId="44" fillId="0" borderId="67" xfId="0" quotePrefix="1" applyNumberFormat="1" applyFont="1" applyBorder="1" applyAlignment="1">
      <alignment horizontal="right"/>
    </xf>
    <xf numFmtId="169" fontId="44" fillId="0" borderId="46" xfId="0" applyNumberFormat="1" applyFont="1" applyBorder="1" applyAlignment="1">
      <alignment horizontal="right"/>
    </xf>
    <xf numFmtId="0" fontId="31" fillId="0" borderId="46" xfId="0" applyFont="1" applyFill="1" applyBorder="1"/>
    <xf numFmtId="169" fontId="44" fillId="0" borderId="46" xfId="0" applyNumberFormat="1" applyFont="1" applyFill="1" applyBorder="1" applyAlignment="1">
      <alignment horizontal="right"/>
    </xf>
    <xf numFmtId="169" fontId="44" fillId="0" borderId="46" xfId="0" applyNumberFormat="1" applyFont="1" applyFill="1" applyBorder="1" applyAlignment="1">
      <alignment horizontal="center"/>
    </xf>
    <xf numFmtId="0" fontId="41" fillId="17" borderId="72" xfId="0" applyFont="1" applyFill="1" applyBorder="1" applyAlignment="1">
      <alignment horizontal="center" vertical="center"/>
    </xf>
    <xf numFmtId="14" fontId="45" fillId="17" borderId="73" xfId="0" applyNumberFormat="1" applyFont="1" applyFill="1" applyBorder="1" applyAlignment="1">
      <alignment horizontal="center" vertical="center"/>
    </xf>
    <xf numFmtId="0" fontId="45" fillId="17" borderId="74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169" fontId="31" fillId="17" borderId="75" xfId="0" applyNumberFormat="1" applyFont="1" applyFill="1" applyBorder="1" applyAlignment="1">
      <alignment vertical="center"/>
    </xf>
    <xf numFmtId="169" fontId="44" fillId="0" borderId="73" xfId="0" applyNumberFormat="1" applyFont="1" applyBorder="1" applyAlignment="1">
      <alignment vertical="center"/>
    </xf>
    <xf numFmtId="0" fontId="31" fillId="19" borderId="73" xfId="0" applyFont="1" applyFill="1" applyBorder="1" applyAlignment="1">
      <alignment horizontal="center" vertical="center"/>
    </xf>
    <xf numFmtId="169" fontId="44" fillId="0" borderId="73" xfId="0" applyNumberFormat="1" applyFont="1" applyBorder="1"/>
    <xf numFmtId="169" fontId="44" fillId="0" borderId="73" xfId="1" applyNumberFormat="1" applyFont="1" applyBorder="1"/>
    <xf numFmtId="169" fontId="44" fillId="0" borderId="73" xfId="1" applyNumberFormat="1" applyFont="1" applyFill="1" applyBorder="1"/>
    <xf numFmtId="0" fontId="31" fillId="18" borderId="73" xfId="0" applyFont="1" applyFill="1" applyBorder="1" applyAlignment="1">
      <alignment horizontal="center" vertical="center"/>
    </xf>
    <xf numFmtId="169" fontId="31" fillId="20" borderId="73" xfId="0" applyNumberFormat="1" applyFont="1" applyFill="1" applyBorder="1"/>
    <xf numFmtId="0" fontId="45" fillId="0" borderId="46" xfId="0" applyFont="1" applyFill="1" applyBorder="1" applyAlignment="1">
      <alignment horizontal="center" vertical="center"/>
    </xf>
    <xf numFmtId="0" fontId="54" fillId="0" borderId="46" xfId="0" applyFont="1" applyFill="1" applyBorder="1" applyAlignment="1">
      <alignment horizontal="center" vertical="center"/>
    </xf>
    <xf numFmtId="17" fontId="54" fillId="0" borderId="46" xfId="0" applyNumberFormat="1" applyFont="1" applyFill="1" applyBorder="1" applyAlignment="1">
      <alignment horizontal="center" vertical="center"/>
    </xf>
    <xf numFmtId="0" fontId="45" fillId="0" borderId="46" xfId="0" applyFont="1" applyFill="1" applyBorder="1" applyAlignment="1">
      <alignment horizontal="right" vertical="center"/>
    </xf>
    <xf numFmtId="169" fontId="44" fillId="0" borderId="46" xfId="0" applyNumberFormat="1" applyFont="1" applyFill="1" applyBorder="1" applyAlignment="1">
      <alignment horizontal="right" vertical="center"/>
    </xf>
    <xf numFmtId="169" fontId="44" fillId="0" borderId="46" xfId="0" quotePrefix="1" applyNumberFormat="1" applyFont="1" applyFill="1" applyBorder="1" applyAlignment="1">
      <alignment horizontal="right"/>
    </xf>
    <xf numFmtId="169" fontId="44" fillId="0" borderId="68" xfId="0" applyNumberFormat="1" applyFont="1" applyBorder="1" applyAlignment="1">
      <alignment horizontal="right"/>
    </xf>
    <xf numFmtId="169" fontId="44" fillId="0" borderId="68" xfId="0" applyNumberFormat="1" applyFont="1" applyBorder="1"/>
    <xf numFmtId="169" fontId="31" fillId="19" borderId="67" xfId="0" quotePrefix="1" applyNumberFormat="1" applyFont="1" applyFill="1" applyBorder="1" applyAlignment="1">
      <alignment horizontal="right"/>
    </xf>
    <xf numFmtId="169" fontId="31" fillId="0" borderId="46" xfId="0" quotePrefix="1" applyNumberFormat="1" applyFont="1" applyFill="1" applyBorder="1" applyAlignment="1">
      <alignment horizontal="right"/>
    </xf>
    <xf numFmtId="169" fontId="31" fillId="19" borderId="73" xfId="0" quotePrefix="1" applyNumberFormat="1" applyFont="1" applyFill="1" applyBorder="1" applyAlignment="1">
      <alignment horizontal="right"/>
    </xf>
    <xf numFmtId="169" fontId="31" fillId="18" borderId="67" xfId="0" quotePrefix="1" applyNumberFormat="1" applyFont="1" applyFill="1" applyBorder="1" applyAlignment="1">
      <alignment horizontal="right"/>
    </xf>
    <xf numFmtId="169" fontId="31" fillId="20" borderId="67" xfId="0" quotePrefix="1" applyNumberFormat="1" applyFont="1" applyFill="1" applyBorder="1" applyAlignment="1">
      <alignment horizontal="right"/>
    </xf>
    <xf numFmtId="0" fontId="44" fillId="0" borderId="46" xfId="0" quotePrefix="1" applyFont="1" applyFill="1" applyBorder="1"/>
    <xf numFmtId="0" fontId="7" fillId="3" borderId="65" xfId="0" applyFont="1" applyFill="1" applyBorder="1" applyAlignment="1">
      <alignment vertical="center"/>
    </xf>
    <xf numFmtId="169" fontId="7" fillId="0" borderId="65" xfId="0" applyNumberFormat="1" applyFont="1" applyFill="1" applyBorder="1" applyAlignment="1">
      <alignment vertical="center"/>
    </xf>
    <xf numFmtId="169" fontId="30" fillId="4" borderId="46" xfId="0" applyNumberFormat="1" applyFont="1" applyFill="1" applyBorder="1" applyAlignment="1">
      <alignment horizontal="center" vertical="center" wrapText="1"/>
    </xf>
    <xf numFmtId="169" fontId="7" fillId="0" borderId="46" xfId="0" applyNumberFormat="1" applyFont="1" applyFill="1" applyBorder="1" applyAlignment="1">
      <alignment horizontal="right" vertical="center"/>
    </xf>
    <xf numFmtId="169" fontId="9" fillId="23" borderId="65" xfId="0" applyNumberFormat="1" applyFont="1" applyFill="1" applyBorder="1" applyAlignment="1">
      <alignment horizontal="right" vertical="center"/>
    </xf>
    <xf numFmtId="0" fontId="31" fillId="26" borderId="46" xfId="0" quotePrefix="1" applyFont="1" applyFill="1" applyBorder="1"/>
    <xf numFmtId="0" fontId="45" fillId="26" borderId="46" xfId="0" quotePrefix="1" applyFont="1" applyFill="1" applyBorder="1" applyAlignment="1">
      <alignment horizontal="center"/>
    </xf>
    <xf numFmtId="169" fontId="31" fillId="26" borderId="67" xfId="0" quotePrefix="1" applyNumberFormat="1" applyFont="1" applyFill="1" applyBorder="1" applyAlignment="1">
      <alignment horizontal="right"/>
    </xf>
    <xf numFmtId="169" fontId="31" fillId="26" borderId="46" xfId="0" quotePrefix="1" applyNumberFormat="1" applyFont="1" applyFill="1" applyBorder="1" applyAlignment="1">
      <alignment horizontal="right"/>
    </xf>
    <xf numFmtId="169" fontId="31" fillId="26" borderId="67" xfId="1" applyNumberFormat="1" applyFont="1" applyFill="1" applyBorder="1"/>
    <xf numFmtId="169" fontId="31" fillId="26" borderId="73" xfId="1" applyNumberFormat="1" applyFont="1" applyFill="1" applyBorder="1"/>
    <xf numFmtId="169" fontId="7" fillId="27" borderId="65" xfId="0" applyNumberFormat="1" applyFont="1" applyFill="1" applyBorder="1" applyAlignment="1">
      <alignment vertical="center"/>
    </xf>
    <xf numFmtId="169" fontId="24" fillId="27" borderId="65" xfId="0" applyNumberFormat="1" applyFont="1" applyFill="1" applyBorder="1" applyAlignment="1">
      <alignment horizontal="right" vertical="center"/>
    </xf>
    <xf numFmtId="169" fontId="2" fillId="0" borderId="46" xfId="0" applyNumberFormat="1" applyFont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2" fillId="0" borderId="46" xfId="0" applyFont="1" applyBorder="1" applyAlignment="1">
      <alignment vertical="center"/>
    </xf>
    <xf numFmtId="169" fontId="7" fillId="0" borderId="81" xfId="0" applyNumberFormat="1" applyFont="1" applyBorder="1" applyAlignment="1">
      <alignment vertical="center"/>
    </xf>
    <xf numFmtId="169" fontId="7" fillId="0" borderId="83" xfId="0" applyNumberFormat="1" applyFont="1" applyFill="1" applyBorder="1" applyAlignment="1">
      <alignment vertical="center"/>
    </xf>
    <xf numFmtId="169" fontId="7" fillId="0" borderId="82" xfId="0" applyNumberFormat="1" applyFont="1" applyFill="1" applyBorder="1" applyAlignment="1">
      <alignment vertical="center"/>
    </xf>
    <xf numFmtId="169" fontId="7" fillId="27" borderId="83" xfId="0" applyNumberFormat="1" applyFont="1" applyFill="1" applyBorder="1" applyAlignment="1">
      <alignment vertical="center"/>
    </xf>
    <xf numFmtId="169" fontId="7" fillId="27" borderId="82" xfId="0" applyNumberFormat="1" applyFont="1" applyFill="1" applyBorder="1" applyAlignment="1">
      <alignment vertical="center"/>
    </xf>
    <xf numFmtId="169" fontId="24" fillId="27" borderId="83" xfId="0" applyNumberFormat="1" applyFont="1" applyFill="1" applyBorder="1" applyAlignment="1">
      <alignment horizontal="right" vertical="center"/>
    </xf>
    <xf numFmtId="169" fontId="24" fillId="27" borderId="82" xfId="0" applyNumberFormat="1" applyFont="1" applyFill="1" applyBorder="1" applyAlignment="1">
      <alignment horizontal="right" vertical="center"/>
    </xf>
    <xf numFmtId="169" fontId="7" fillId="0" borderId="84" xfId="0" applyNumberFormat="1" applyFont="1" applyFill="1" applyBorder="1" applyAlignment="1">
      <alignment horizontal="right" vertical="center"/>
    </xf>
    <xf numFmtId="169" fontId="7" fillId="0" borderId="82" xfId="0" applyNumberFormat="1" applyFont="1" applyFill="1" applyBorder="1" applyAlignment="1">
      <alignment horizontal="right" vertical="center"/>
    </xf>
    <xf numFmtId="169" fontId="9" fillId="23" borderId="83" xfId="0" applyNumberFormat="1" applyFont="1" applyFill="1" applyBorder="1" applyAlignment="1">
      <alignment horizontal="right" vertical="center"/>
    </xf>
    <xf numFmtId="169" fontId="9" fillId="23" borderId="82" xfId="0" applyNumberFormat="1" applyFont="1" applyFill="1" applyBorder="1" applyAlignment="1">
      <alignment horizontal="right" vertical="center"/>
    </xf>
    <xf numFmtId="169" fontId="9" fillId="4" borderId="85" xfId="0" applyNumberFormat="1" applyFont="1" applyFill="1" applyBorder="1" applyAlignment="1">
      <alignment horizontal="right" vertical="center"/>
    </xf>
    <xf numFmtId="169" fontId="9" fillId="4" borderId="82" xfId="0" applyNumberFormat="1" applyFont="1" applyFill="1" applyBorder="1" applyAlignment="1">
      <alignment horizontal="right" vertical="center"/>
    </xf>
    <xf numFmtId="169" fontId="2" fillId="0" borderId="81" xfId="0" applyNumberFormat="1" applyFont="1" applyBorder="1" applyAlignment="1">
      <alignment vertical="center"/>
    </xf>
    <xf numFmtId="169" fontId="30" fillId="4" borderId="87" xfId="0" applyNumberFormat="1" applyFont="1" applyFill="1" applyBorder="1" applyAlignment="1">
      <alignment horizontal="center" vertical="center" wrapText="1"/>
    </xf>
    <xf numFmtId="169" fontId="7" fillId="0" borderId="85" xfId="0" applyNumberFormat="1" applyFont="1" applyFill="1" applyBorder="1" applyAlignment="1">
      <alignment vertical="center"/>
    </xf>
    <xf numFmtId="3" fontId="55" fillId="23" borderId="88" xfId="0" applyNumberFormat="1" applyFont="1" applyFill="1" applyBorder="1" applyAlignment="1">
      <alignment horizontal="right" vertical="center"/>
    </xf>
    <xf numFmtId="169" fontId="3" fillId="0" borderId="82" xfId="0" applyNumberFormat="1" applyFont="1" applyFill="1" applyBorder="1"/>
    <xf numFmtId="169" fontId="3" fillId="27" borderId="85" xfId="0" applyNumberFormat="1" applyFont="1" applyFill="1" applyBorder="1" applyAlignment="1">
      <alignment horizontal="right" vertical="center"/>
    </xf>
    <xf numFmtId="169" fontId="3" fillId="27" borderId="82" xfId="0" applyNumberFormat="1" applyFont="1" applyFill="1" applyBorder="1" applyAlignment="1">
      <alignment horizontal="right" vertical="center"/>
    </xf>
    <xf numFmtId="169" fontId="3" fillId="27" borderId="82" xfId="0" applyNumberFormat="1" applyFont="1" applyFill="1" applyBorder="1" applyAlignment="1">
      <alignment vertical="center"/>
    </xf>
    <xf numFmtId="169" fontId="7" fillId="27" borderId="85" xfId="0" applyNumberFormat="1" applyFont="1" applyFill="1" applyBorder="1" applyAlignment="1">
      <alignment vertical="center"/>
    </xf>
    <xf numFmtId="169" fontId="52" fillId="23" borderId="89" xfId="0" applyNumberFormat="1" applyFont="1" applyFill="1" applyBorder="1" applyAlignment="1">
      <alignment horizontal="right" vertical="center"/>
    </xf>
    <xf numFmtId="169" fontId="52" fillId="23" borderId="90" xfId="0" applyNumberFormat="1" applyFont="1" applyFill="1" applyBorder="1" applyAlignment="1">
      <alignment horizontal="right" vertical="center"/>
    </xf>
    <xf numFmtId="169" fontId="52" fillId="4" borderId="85" xfId="0" applyNumberFormat="1" applyFont="1" applyFill="1" applyBorder="1" applyAlignment="1">
      <alignment horizontal="right" vertical="center"/>
    </xf>
    <xf numFmtId="169" fontId="52" fillId="4" borderId="82" xfId="0" applyNumberFormat="1" applyFont="1" applyFill="1" applyBorder="1" applyAlignment="1">
      <alignment horizontal="right" vertical="center"/>
    </xf>
    <xf numFmtId="169" fontId="16" fillId="0" borderId="91" xfId="0" applyNumberFormat="1" applyFont="1" applyBorder="1" applyAlignment="1">
      <alignment horizontal="left" vertical="center"/>
    </xf>
    <xf numFmtId="0" fontId="16" fillId="3" borderId="83" xfId="0" applyFont="1" applyFill="1" applyBorder="1" applyAlignment="1">
      <alignment horizontal="left" vertical="center"/>
    </xf>
    <xf numFmtId="3" fontId="9" fillId="0" borderId="92" xfId="0" applyNumberFormat="1" applyFont="1" applyBorder="1" applyAlignment="1">
      <alignment horizontal="right" vertical="center"/>
    </xf>
    <xf numFmtId="3" fontId="9" fillId="0" borderId="93" xfId="0" applyNumberFormat="1" applyFont="1" applyBorder="1" applyAlignment="1">
      <alignment horizontal="right" vertical="center"/>
    </xf>
    <xf numFmtId="3" fontId="9" fillId="0" borderId="94" xfId="0" applyNumberFormat="1" applyFont="1" applyBorder="1" applyAlignment="1">
      <alignment horizontal="right" vertical="center"/>
    </xf>
    <xf numFmtId="165" fontId="6" fillId="4" borderId="43" xfId="0" applyNumberFormat="1" applyFont="1" applyFill="1" applyBorder="1" applyAlignment="1">
      <alignment horizontal="center" vertical="center"/>
    </xf>
    <xf numFmtId="3" fontId="9" fillId="5" borderId="43" xfId="0" applyNumberFormat="1" applyFont="1" applyFill="1" applyBorder="1" applyAlignment="1">
      <alignment horizontal="right" vertical="center"/>
    </xf>
    <xf numFmtId="3" fontId="7" fillId="0" borderId="95" xfId="0" applyNumberFormat="1" applyFont="1" applyBorder="1" applyAlignment="1">
      <alignment horizontal="right" vertical="center"/>
    </xf>
    <xf numFmtId="164" fontId="2" fillId="0" borderId="46" xfId="0" applyNumberFormat="1" applyFont="1" applyBorder="1" applyAlignment="1">
      <alignment vertical="center"/>
    </xf>
    <xf numFmtId="3" fontId="15" fillId="0" borderId="51" xfId="0" applyNumberFormat="1" applyFont="1" applyBorder="1" applyAlignment="1">
      <alignment horizontal="right" vertical="center"/>
    </xf>
    <xf numFmtId="3" fontId="7" fillId="0" borderId="81" xfId="0" applyNumberFormat="1" applyFont="1" applyBorder="1" applyAlignment="1">
      <alignment horizontal="right" vertical="center"/>
    </xf>
    <xf numFmtId="3" fontId="7" fillId="0" borderId="88" xfId="0" applyNumberFormat="1" applyFont="1" applyBorder="1" applyAlignment="1">
      <alignment horizontal="right" vertical="center"/>
    </xf>
    <xf numFmtId="3" fontId="7" fillId="27" borderId="88" xfId="0" applyNumberFormat="1" applyFont="1" applyFill="1" applyBorder="1" applyAlignment="1">
      <alignment horizontal="right" vertical="center"/>
    </xf>
    <xf numFmtId="3" fontId="7" fillId="0" borderId="97" xfId="0" applyNumberFormat="1" applyFont="1" applyBorder="1" applyAlignment="1">
      <alignment horizontal="right" vertical="center"/>
    </xf>
    <xf numFmtId="169" fontId="30" fillId="4" borderId="81" xfId="0" applyNumberFormat="1" applyFont="1" applyFill="1" applyBorder="1" applyAlignment="1">
      <alignment horizontal="center" vertical="center" wrapText="1"/>
    </xf>
    <xf numFmtId="3" fontId="55" fillId="23" borderId="96" xfId="0" applyNumberFormat="1" applyFont="1" applyFill="1" applyBorder="1" applyAlignment="1">
      <alignment horizontal="right" vertical="center"/>
    </xf>
    <xf numFmtId="169" fontId="7" fillId="0" borderId="88" xfId="0" applyNumberFormat="1" applyFont="1" applyBorder="1" applyAlignment="1">
      <alignment horizontal="right" vertical="center"/>
    </xf>
    <xf numFmtId="169" fontId="11" fillId="4" borderId="99" xfId="0" applyNumberFormat="1" applyFont="1" applyFill="1" applyBorder="1" applyAlignment="1">
      <alignment horizontal="right" vertical="center"/>
    </xf>
    <xf numFmtId="169" fontId="11" fillId="4" borderId="100" xfId="0" applyNumberFormat="1" applyFont="1" applyFill="1" applyBorder="1" applyAlignment="1">
      <alignment horizontal="right" vertical="center"/>
    </xf>
    <xf numFmtId="169" fontId="11" fillId="4" borderId="101" xfId="0" applyNumberFormat="1" applyFont="1" applyFill="1" applyBorder="1" applyAlignment="1">
      <alignment horizontal="right" vertical="center"/>
    </xf>
    <xf numFmtId="169" fontId="7" fillId="0" borderId="102" xfId="0" applyNumberFormat="1" applyFont="1" applyBorder="1" applyAlignment="1">
      <alignment vertical="center"/>
    </xf>
    <xf numFmtId="0" fontId="30" fillId="4" borderId="52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/>
    </xf>
    <xf numFmtId="169" fontId="7" fillId="0" borderId="46" xfId="0" applyNumberFormat="1" applyFont="1" applyFill="1" applyBorder="1" applyAlignment="1">
      <alignment vertical="center"/>
    </xf>
    <xf numFmtId="169" fontId="3" fillId="0" borderId="46" xfId="0" applyNumberFormat="1" applyFont="1" applyFill="1" applyBorder="1"/>
    <xf numFmtId="164" fontId="2" fillId="0" borderId="46" xfId="0" applyNumberFormat="1" applyFont="1" applyFill="1" applyBorder="1" applyAlignment="1">
      <alignment vertical="center"/>
    </xf>
    <xf numFmtId="0" fontId="6" fillId="0" borderId="46" xfId="0" applyFont="1" applyFill="1" applyBorder="1" applyAlignment="1">
      <alignment horizontal="center" vertical="center"/>
    </xf>
    <xf numFmtId="3" fontId="7" fillId="0" borderId="46" xfId="0" applyNumberFormat="1" applyFont="1" applyFill="1" applyBorder="1" applyAlignment="1">
      <alignment horizontal="right" vertical="center"/>
    </xf>
    <xf numFmtId="3" fontId="55" fillId="0" borderId="46" xfId="0" applyNumberFormat="1" applyFont="1" applyFill="1" applyBorder="1" applyAlignment="1">
      <alignment horizontal="right" vertical="center"/>
    </xf>
    <xf numFmtId="169" fontId="9" fillId="0" borderId="46" xfId="0" applyNumberFormat="1" applyFont="1" applyFill="1" applyBorder="1" applyAlignment="1">
      <alignment horizontal="right" vertical="center"/>
    </xf>
    <xf numFmtId="169" fontId="30" fillId="0" borderId="46" xfId="0" applyNumberFormat="1" applyFont="1" applyFill="1" applyBorder="1" applyAlignment="1">
      <alignment horizontal="center" vertical="center" wrapText="1"/>
    </xf>
    <xf numFmtId="3" fontId="20" fillId="0" borderId="46" xfId="0" applyNumberFormat="1" applyFont="1" applyFill="1" applyBorder="1" applyAlignment="1">
      <alignment horizontal="right" vertical="center"/>
    </xf>
    <xf numFmtId="169" fontId="52" fillId="0" borderId="46" xfId="0" applyNumberFormat="1" applyFont="1" applyFill="1" applyBorder="1" applyAlignment="1">
      <alignment horizontal="right" vertical="center"/>
    </xf>
    <xf numFmtId="169" fontId="11" fillId="0" borderId="46" xfId="0" applyNumberFormat="1" applyFont="1" applyFill="1" applyBorder="1" applyAlignment="1">
      <alignment horizontal="right" vertical="center"/>
    </xf>
    <xf numFmtId="0" fontId="28" fillId="0" borderId="46" xfId="0" applyFont="1" applyFill="1" applyBorder="1" applyAlignment="1">
      <alignment horizontal="left" vertical="center" wrapText="1"/>
    </xf>
    <xf numFmtId="0" fontId="30" fillId="0" borderId="46" xfId="0" applyFont="1" applyFill="1" applyBorder="1" applyAlignment="1">
      <alignment horizontal="center" vertical="center" wrapText="1"/>
    </xf>
    <xf numFmtId="169" fontId="24" fillId="0" borderId="46" xfId="0" applyNumberFormat="1" applyFont="1" applyFill="1" applyBorder="1" applyAlignment="1">
      <alignment horizontal="right" vertical="center"/>
    </xf>
    <xf numFmtId="169" fontId="2" fillId="0" borderId="46" xfId="0" applyNumberFormat="1" applyFont="1" applyFill="1" applyBorder="1" applyAlignment="1">
      <alignment vertical="center"/>
    </xf>
    <xf numFmtId="169" fontId="3" fillId="0" borderId="46" xfId="0" applyNumberFormat="1" applyFont="1" applyFill="1" applyBorder="1" applyAlignment="1">
      <alignment horizontal="right" vertical="center"/>
    </xf>
    <xf numFmtId="169" fontId="3" fillId="0" borderId="46" xfId="0" applyNumberFormat="1" applyFont="1" applyFill="1" applyBorder="1" applyAlignment="1">
      <alignment vertical="center"/>
    </xf>
    <xf numFmtId="169" fontId="16" fillId="0" borderId="46" xfId="0" applyNumberFormat="1" applyFont="1" applyFill="1" applyBorder="1" applyAlignment="1">
      <alignment horizontal="left" vertical="center"/>
    </xf>
    <xf numFmtId="0" fontId="16" fillId="0" borderId="46" xfId="0" applyFont="1" applyFill="1" applyBorder="1" applyAlignment="1">
      <alignment horizontal="left" vertical="center"/>
    </xf>
    <xf numFmtId="3" fontId="9" fillId="0" borderId="46" xfId="0" applyNumberFormat="1" applyFont="1" applyFill="1" applyBorder="1" applyAlignment="1">
      <alignment horizontal="right" vertical="center"/>
    </xf>
    <xf numFmtId="3" fontId="7" fillId="0" borderId="82" xfId="0" applyNumberFormat="1" applyFont="1" applyBorder="1" applyAlignment="1">
      <alignment horizontal="right" vertical="center"/>
    </xf>
    <xf numFmtId="0" fontId="30" fillId="4" borderId="106" xfId="0" applyFont="1" applyFill="1" applyBorder="1" applyAlignment="1">
      <alignment horizontal="center" vertical="center" wrapText="1"/>
    </xf>
    <xf numFmtId="0" fontId="6" fillId="4" borderId="105" xfId="0" applyFont="1" applyFill="1" applyBorder="1" applyAlignment="1">
      <alignment horizontal="center" vertical="center"/>
    </xf>
    <xf numFmtId="0" fontId="6" fillId="4" borderId="107" xfId="0" applyFont="1" applyFill="1" applyBorder="1" applyAlignment="1">
      <alignment horizontal="center" vertical="center"/>
    </xf>
    <xf numFmtId="3" fontId="7" fillId="0" borderId="102" xfId="0" applyNumberFormat="1" applyFont="1" applyBorder="1" applyAlignment="1">
      <alignment horizontal="right" vertical="center"/>
    </xf>
    <xf numFmtId="0" fontId="6" fillId="4" borderId="108" xfId="0" applyFont="1" applyFill="1" applyBorder="1" applyAlignment="1">
      <alignment horizontal="center" vertical="center"/>
    </xf>
    <xf numFmtId="0" fontId="30" fillId="4" borderId="108" xfId="0" applyFont="1" applyFill="1" applyBorder="1" applyAlignment="1">
      <alignment horizontal="center" vertical="center" wrapText="1"/>
    </xf>
    <xf numFmtId="168" fontId="6" fillId="4" borderId="51" xfId="0" applyNumberFormat="1" applyFont="1" applyFill="1" applyBorder="1" applyAlignment="1">
      <alignment horizontal="center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48" xfId="0" applyNumberFormat="1" applyFont="1" applyBorder="1" applyAlignment="1">
      <alignment horizontal="right" vertical="center"/>
    </xf>
    <xf numFmtId="3" fontId="9" fillId="5" borderId="51" xfId="0" applyNumberFormat="1" applyFont="1" applyFill="1" applyBorder="1" applyAlignment="1">
      <alignment horizontal="right" vertical="center"/>
    </xf>
    <xf numFmtId="3" fontId="7" fillId="0" borderId="109" xfId="0" applyNumberFormat="1" applyFont="1" applyBorder="1" applyAlignment="1">
      <alignment horizontal="right" vertical="center"/>
    </xf>
    <xf numFmtId="3" fontId="7" fillId="6" borderId="110" xfId="0" applyNumberFormat="1" applyFont="1" applyFill="1" applyBorder="1" applyAlignment="1">
      <alignment horizontal="right" vertical="center"/>
    </xf>
    <xf numFmtId="3" fontId="7" fillId="7" borderId="95" xfId="0" applyNumberFormat="1" applyFont="1" applyFill="1" applyBorder="1" applyAlignment="1">
      <alignment horizontal="right" vertical="center"/>
    </xf>
    <xf numFmtId="3" fontId="7" fillId="8" borderId="95" xfId="0" applyNumberFormat="1" applyFont="1" applyFill="1" applyBorder="1" applyAlignment="1">
      <alignment horizontal="right" vertical="center"/>
    </xf>
    <xf numFmtId="3" fontId="11" fillId="4" borderId="51" xfId="0" applyNumberFormat="1" applyFont="1" applyFill="1" applyBorder="1" applyAlignment="1">
      <alignment horizontal="right" vertical="center"/>
    </xf>
    <xf numFmtId="165" fontId="5" fillId="4" borderId="51" xfId="0" applyNumberFormat="1" applyFont="1" applyFill="1" applyBorder="1" applyAlignment="1">
      <alignment horizontal="center" vertical="center"/>
    </xf>
    <xf numFmtId="3" fontId="7" fillId="9" borderId="111" xfId="0" applyNumberFormat="1" applyFont="1" applyFill="1" applyBorder="1" applyAlignment="1">
      <alignment horizontal="right" vertical="center"/>
    </xf>
    <xf numFmtId="3" fontId="7" fillId="0" borderId="111" xfId="0" applyNumberFormat="1" applyFont="1" applyBorder="1" applyAlignment="1">
      <alignment horizontal="right" vertical="center"/>
    </xf>
    <xf numFmtId="3" fontId="7" fillId="0" borderId="112" xfId="0" applyNumberFormat="1" applyFont="1" applyBorder="1" applyAlignment="1">
      <alignment horizontal="right" vertical="center"/>
    </xf>
    <xf numFmtId="3" fontId="7" fillId="6" borderId="5" xfId="0" applyNumberFormat="1" applyFont="1" applyFill="1" applyBorder="1" applyAlignment="1">
      <alignment horizontal="right" vertical="center"/>
    </xf>
    <xf numFmtId="3" fontId="7" fillId="7" borderId="110" xfId="0" applyNumberFormat="1" applyFont="1" applyFill="1" applyBorder="1" applyAlignment="1">
      <alignment horizontal="right" vertical="center"/>
    </xf>
    <xf numFmtId="3" fontId="7" fillId="2" borderId="110" xfId="0" applyNumberFormat="1" applyFont="1" applyFill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8" borderId="110" xfId="0" applyNumberFormat="1" applyFont="1" applyFill="1" applyBorder="1" applyAlignment="1">
      <alignment horizontal="right" vertical="center"/>
    </xf>
    <xf numFmtId="3" fontId="7" fillId="5" borderId="112" xfId="0" applyNumberFormat="1" applyFont="1" applyFill="1" applyBorder="1" applyAlignment="1">
      <alignment horizontal="right" vertical="center"/>
    </xf>
    <xf numFmtId="3" fontId="15" fillId="5" borderId="51" xfId="0" applyNumberFormat="1" applyFont="1" applyFill="1" applyBorder="1" applyAlignment="1">
      <alignment horizontal="right" vertical="center"/>
    </xf>
    <xf numFmtId="3" fontId="15" fillId="0" borderId="113" xfId="0" applyNumberFormat="1" applyFont="1" applyBorder="1" applyAlignment="1">
      <alignment horizontal="right" vertical="center"/>
    </xf>
    <xf numFmtId="0" fontId="2" fillId="3" borderId="46" xfId="0" applyFont="1" applyFill="1" applyBorder="1" applyAlignment="1">
      <alignment vertical="center"/>
    </xf>
    <xf numFmtId="3" fontId="7" fillId="0" borderId="116" xfId="0" applyNumberFormat="1" applyFont="1" applyBorder="1" applyAlignment="1">
      <alignment horizontal="right" vertical="center"/>
    </xf>
    <xf numFmtId="4" fontId="7" fillId="0" borderId="46" xfId="0" applyNumberFormat="1" applyFont="1" applyBorder="1" applyAlignment="1">
      <alignment vertical="center"/>
    </xf>
    <xf numFmtId="0" fontId="7" fillId="0" borderId="86" xfId="0" applyFont="1" applyBorder="1" applyAlignment="1">
      <alignment vertical="center"/>
    </xf>
    <xf numFmtId="3" fontId="7" fillId="0" borderId="117" xfId="0" applyNumberFormat="1" applyFont="1" applyBorder="1" applyAlignment="1">
      <alignment horizontal="right" vertical="center"/>
    </xf>
    <xf numFmtId="3" fontId="7" fillId="0" borderId="118" xfId="0" applyNumberFormat="1" applyFont="1" applyBorder="1" applyAlignment="1">
      <alignment horizontal="right" vertical="center"/>
    </xf>
    <xf numFmtId="3" fontId="7" fillId="0" borderId="119" xfId="0" applyNumberFormat="1" applyFont="1" applyBorder="1" applyAlignment="1">
      <alignment horizontal="right" vertical="center"/>
    </xf>
    <xf numFmtId="3" fontId="9" fillId="5" borderId="114" xfId="0" applyNumberFormat="1" applyFont="1" applyFill="1" applyBorder="1" applyAlignment="1">
      <alignment horizontal="right" vertical="center"/>
    </xf>
    <xf numFmtId="3" fontId="9" fillId="5" borderId="115" xfId="0" applyNumberFormat="1" applyFont="1" applyFill="1" applyBorder="1" applyAlignment="1">
      <alignment horizontal="right" vertical="center"/>
    </xf>
    <xf numFmtId="3" fontId="7" fillId="0" borderId="120" xfId="0" applyNumberFormat="1" applyFont="1" applyBorder="1" applyAlignment="1">
      <alignment horizontal="right" vertical="center"/>
    </xf>
    <xf numFmtId="3" fontId="7" fillId="0" borderId="121" xfId="0" applyNumberFormat="1" applyFont="1" applyBorder="1" applyAlignment="1">
      <alignment horizontal="right" vertical="center"/>
    </xf>
    <xf numFmtId="3" fontId="7" fillId="0" borderId="122" xfId="0" applyNumberFormat="1" applyFont="1" applyBorder="1" applyAlignment="1">
      <alignment horizontal="right" vertical="center"/>
    </xf>
    <xf numFmtId="3" fontId="7" fillId="6" borderId="118" xfId="0" applyNumberFormat="1" applyFont="1" applyFill="1" applyBorder="1" applyAlignment="1">
      <alignment horizontal="right" vertical="center"/>
    </xf>
    <xf numFmtId="3" fontId="7" fillId="6" borderId="117" xfId="0" applyNumberFormat="1" applyFont="1" applyFill="1" applyBorder="1" applyAlignment="1">
      <alignment horizontal="right" vertical="center"/>
    </xf>
    <xf numFmtId="3" fontId="7" fillId="7" borderId="118" xfId="0" applyNumberFormat="1" applyFont="1" applyFill="1" applyBorder="1" applyAlignment="1">
      <alignment horizontal="right" vertical="center"/>
    </xf>
    <xf numFmtId="3" fontId="7" fillId="7" borderId="119" xfId="0" applyNumberFormat="1" applyFont="1" applyFill="1" applyBorder="1" applyAlignment="1">
      <alignment horizontal="right" vertical="center"/>
    </xf>
    <xf numFmtId="3" fontId="7" fillId="8" borderId="118" xfId="0" applyNumberFormat="1" applyFont="1" applyFill="1" applyBorder="1" applyAlignment="1">
      <alignment horizontal="right" vertical="center"/>
    </xf>
    <xf numFmtId="3" fontId="7" fillId="8" borderId="119" xfId="0" applyNumberFormat="1" applyFont="1" applyFill="1" applyBorder="1" applyAlignment="1">
      <alignment horizontal="right" vertical="center"/>
    </xf>
    <xf numFmtId="3" fontId="7" fillId="8" borderId="81" xfId="0" applyNumberFormat="1" applyFont="1" applyFill="1" applyBorder="1" applyAlignment="1">
      <alignment horizontal="right" vertical="center"/>
    </xf>
    <xf numFmtId="3" fontId="7" fillId="8" borderId="123" xfId="0" applyNumberFormat="1" applyFont="1" applyFill="1" applyBorder="1" applyAlignment="1">
      <alignment horizontal="right" vertical="center"/>
    </xf>
    <xf numFmtId="3" fontId="9" fillId="5" borderId="124" xfId="0" applyNumberFormat="1" applyFont="1" applyFill="1" applyBorder="1" applyAlignment="1">
      <alignment horizontal="right" vertical="center"/>
    </xf>
    <xf numFmtId="3" fontId="11" fillId="4" borderId="114" xfId="0" applyNumberFormat="1" applyFont="1" applyFill="1" applyBorder="1" applyAlignment="1">
      <alignment horizontal="right" vertical="center"/>
    </xf>
    <xf numFmtId="3" fontId="11" fillId="4" borderId="115" xfId="0" applyNumberFormat="1" applyFont="1" applyFill="1" applyBorder="1" applyAlignment="1">
      <alignment horizontal="right" vertical="center"/>
    </xf>
    <xf numFmtId="164" fontId="2" fillId="0" borderId="81" xfId="0" applyNumberFormat="1" applyFont="1" applyBorder="1" applyAlignment="1">
      <alignment vertical="center"/>
    </xf>
    <xf numFmtId="4" fontId="2" fillId="0" borderId="46" xfId="0" applyNumberFormat="1" applyFont="1" applyBorder="1" applyAlignment="1">
      <alignment vertical="center"/>
    </xf>
    <xf numFmtId="3" fontId="7" fillId="0" borderId="46" xfId="0" applyNumberFormat="1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165" fontId="5" fillId="4" borderId="114" xfId="0" applyNumberFormat="1" applyFont="1" applyFill="1" applyBorder="1" applyAlignment="1">
      <alignment horizontal="center" vertical="center"/>
    </xf>
    <xf numFmtId="165" fontId="5" fillId="4" borderId="115" xfId="0" applyNumberFormat="1" applyFont="1" applyFill="1" applyBorder="1" applyAlignment="1">
      <alignment horizontal="center" vertical="center"/>
    </xf>
    <xf numFmtId="3" fontId="7" fillId="9" borderId="116" xfId="0" applyNumberFormat="1" applyFont="1" applyFill="1" applyBorder="1" applyAlignment="1">
      <alignment horizontal="right" vertical="center"/>
    </xf>
    <xf numFmtId="3" fontId="7" fillId="0" borderId="125" xfId="0" applyNumberFormat="1" applyFont="1" applyBorder="1" applyAlignment="1">
      <alignment horizontal="right" vertical="center"/>
    </xf>
    <xf numFmtId="3" fontId="7" fillId="6" borderId="116" xfId="0" applyNumberFormat="1" applyFont="1" applyFill="1" applyBorder="1" applyAlignment="1">
      <alignment horizontal="right" vertical="center"/>
    </xf>
    <xf numFmtId="3" fontId="7" fillId="6" borderId="125" xfId="0" applyNumberFormat="1" applyFont="1" applyFill="1" applyBorder="1" applyAlignment="1">
      <alignment horizontal="right" vertical="center"/>
    </xf>
    <xf numFmtId="3" fontId="7" fillId="7" borderId="116" xfId="0" applyNumberFormat="1" applyFont="1" applyFill="1" applyBorder="1" applyAlignment="1">
      <alignment horizontal="right" vertical="center"/>
    </xf>
    <xf numFmtId="3" fontId="7" fillId="7" borderId="117" xfId="0" applyNumberFormat="1" applyFont="1" applyFill="1" applyBorder="1" applyAlignment="1">
      <alignment horizontal="right" vertical="center"/>
    </xf>
    <xf numFmtId="3" fontId="7" fillId="2" borderId="116" xfId="0" applyNumberFormat="1" applyFont="1" applyFill="1" applyBorder="1" applyAlignment="1">
      <alignment horizontal="right" vertical="center"/>
    </xf>
    <xf numFmtId="3" fontId="7" fillId="2" borderId="117" xfId="0" applyNumberFormat="1" applyFont="1" applyFill="1" applyBorder="1" applyAlignment="1">
      <alignment horizontal="right" vertical="center"/>
    </xf>
    <xf numFmtId="3" fontId="7" fillId="8" borderId="116" xfId="0" applyNumberFormat="1" applyFont="1" applyFill="1" applyBorder="1" applyAlignment="1">
      <alignment horizontal="right" vertical="center"/>
    </xf>
    <xf numFmtId="3" fontId="7" fillId="8" borderId="117" xfId="0" applyNumberFormat="1" applyFont="1" applyFill="1" applyBorder="1" applyAlignment="1">
      <alignment horizontal="right" vertical="center"/>
    </xf>
    <xf numFmtId="3" fontId="7" fillId="5" borderId="116" xfId="0" applyNumberFormat="1" applyFont="1" applyFill="1" applyBorder="1" applyAlignment="1">
      <alignment horizontal="right" vertical="center"/>
    </xf>
    <xf numFmtId="3" fontId="7" fillId="5" borderId="125" xfId="0" applyNumberFormat="1" applyFont="1" applyFill="1" applyBorder="1" applyAlignment="1">
      <alignment horizontal="right" vertical="center"/>
    </xf>
    <xf numFmtId="3" fontId="15" fillId="5" borderId="114" xfId="0" applyNumberFormat="1" applyFont="1" applyFill="1" applyBorder="1" applyAlignment="1">
      <alignment horizontal="right" vertical="center"/>
    </xf>
    <xf numFmtId="3" fontId="15" fillId="5" borderId="115" xfId="0" applyNumberFormat="1" applyFont="1" applyFill="1" applyBorder="1" applyAlignment="1">
      <alignment horizontal="right" vertical="center"/>
    </xf>
    <xf numFmtId="3" fontId="15" fillId="0" borderId="126" xfId="0" applyNumberFormat="1" applyFont="1" applyBorder="1" applyAlignment="1">
      <alignment horizontal="right" vertical="center"/>
    </xf>
    <xf numFmtId="3" fontId="15" fillId="0" borderId="47" xfId="0" applyNumberFormat="1" applyFont="1" applyBorder="1" applyAlignment="1">
      <alignment horizontal="right" vertical="center"/>
    </xf>
    <xf numFmtId="3" fontId="15" fillId="0" borderId="127" xfId="0" applyNumberFormat="1" applyFont="1" applyBorder="1" applyAlignment="1">
      <alignment horizontal="right" vertical="center"/>
    </xf>
    <xf numFmtId="3" fontId="15" fillId="3" borderId="81" xfId="0" applyNumberFormat="1" applyFont="1" applyFill="1" applyBorder="1" applyAlignment="1">
      <alignment horizontal="right" vertical="center"/>
    </xf>
    <xf numFmtId="4" fontId="2" fillId="3" borderId="46" xfId="0" applyNumberFormat="1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0" fontId="2" fillId="3" borderId="86" xfId="0" applyFont="1" applyFill="1" applyBorder="1" applyAlignment="1">
      <alignment vertical="center"/>
    </xf>
    <xf numFmtId="3" fontId="11" fillId="4" borderId="128" xfId="0" applyNumberFormat="1" applyFont="1" applyFill="1" applyBorder="1" applyAlignment="1">
      <alignment horizontal="right" vertical="center"/>
    </xf>
    <xf numFmtId="3" fontId="11" fillId="4" borderId="129" xfId="0" applyNumberFormat="1" applyFont="1" applyFill="1" applyBorder="1" applyAlignment="1">
      <alignment horizontal="right" vertical="center"/>
    </xf>
    <xf numFmtId="3" fontId="11" fillId="4" borderId="130" xfId="0" applyNumberFormat="1" applyFont="1" applyFill="1" applyBorder="1" applyAlignment="1">
      <alignment horizontal="right" vertical="center"/>
    </xf>
    <xf numFmtId="3" fontId="11" fillId="4" borderId="131" xfId="0" applyNumberFormat="1" applyFont="1" applyFill="1" applyBorder="1" applyAlignment="1">
      <alignment horizontal="right" vertical="center"/>
    </xf>
    <xf numFmtId="3" fontId="11" fillId="4" borderId="132" xfId="0" applyNumberFormat="1" applyFont="1" applyFill="1" applyBorder="1" applyAlignment="1">
      <alignment horizontal="right" vertical="center"/>
    </xf>
    <xf numFmtId="164" fontId="26" fillId="27" borderId="52" xfId="0" applyNumberFormat="1" applyFont="1" applyFill="1" applyBorder="1" applyAlignment="1">
      <alignment vertical="center"/>
    </xf>
    <xf numFmtId="164" fontId="2" fillId="27" borderId="53" xfId="0" applyNumberFormat="1" applyFont="1" applyFill="1" applyBorder="1" applyAlignment="1">
      <alignment vertical="center"/>
    </xf>
    <xf numFmtId="4" fontId="2" fillId="27" borderId="53" xfId="0" applyNumberFormat="1" applyFont="1" applyFill="1" applyBorder="1" applyAlignment="1">
      <alignment vertical="center"/>
    </xf>
    <xf numFmtId="0" fontId="2" fillId="27" borderId="53" xfId="0" applyFont="1" applyFill="1" applyBorder="1" applyAlignment="1">
      <alignment vertical="center"/>
    </xf>
    <xf numFmtId="0" fontId="2" fillId="27" borderId="103" xfId="0" applyFont="1" applyFill="1" applyBorder="1" applyAlignment="1">
      <alignment vertical="center"/>
    </xf>
    <xf numFmtId="165" fontId="6" fillId="4" borderId="52" xfId="0" applyNumberFormat="1" applyFont="1" applyFill="1" applyBorder="1" applyAlignment="1">
      <alignment horizontal="center" vertical="center"/>
    </xf>
    <xf numFmtId="165" fontId="6" fillId="4" borderId="133" xfId="0" applyNumberFormat="1" applyFont="1" applyFill="1" applyBorder="1" applyAlignment="1">
      <alignment horizontal="center" vertical="center"/>
    </xf>
    <xf numFmtId="165" fontId="5" fillId="4" borderId="133" xfId="0" applyNumberFormat="1" applyFont="1" applyFill="1" applyBorder="1" applyAlignment="1">
      <alignment horizontal="center" vertical="center"/>
    </xf>
    <xf numFmtId="0" fontId="6" fillId="4" borderId="134" xfId="0" applyFont="1" applyFill="1" applyBorder="1" applyAlignment="1">
      <alignment horizontal="center" vertical="center"/>
    </xf>
    <xf numFmtId="166" fontId="6" fillId="4" borderId="134" xfId="0" applyNumberFormat="1" applyFont="1" applyFill="1" applyBorder="1" applyAlignment="1">
      <alignment horizontal="center" vertical="center"/>
    </xf>
    <xf numFmtId="167" fontId="6" fillId="4" borderId="134" xfId="0" applyNumberFormat="1" applyFont="1" applyFill="1" applyBorder="1" applyAlignment="1">
      <alignment horizontal="center" vertical="center"/>
    </xf>
    <xf numFmtId="0" fontId="6" fillId="4" borderId="135" xfId="0" applyFont="1" applyFill="1" applyBorder="1" applyAlignment="1">
      <alignment horizontal="center" vertical="center"/>
    </xf>
    <xf numFmtId="3" fontId="11" fillId="4" borderId="136" xfId="0" applyNumberFormat="1" applyFont="1" applyFill="1" applyBorder="1" applyAlignment="1">
      <alignment horizontal="right" vertical="center"/>
    </xf>
    <xf numFmtId="3" fontId="11" fillId="4" borderId="137" xfId="0" applyNumberFormat="1" applyFont="1" applyFill="1" applyBorder="1" applyAlignment="1">
      <alignment horizontal="right" vertical="center"/>
    </xf>
    <xf numFmtId="3" fontId="11" fillId="4" borderId="138" xfId="0" applyNumberFormat="1" applyFont="1" applyFill="1" applyBorder="1" applyAlignment="1">
      <alignment horizontal="right" vertical="center"/>
    </xf>
    <xf numFmtId="3" fontId="11" fillId="4" borderId="62" xfId="0" applyNumberFormat="1" applyFont="1" applyFill="1" applyBorder="1" applyAlignment="1">
      <alignment horizontal="right" vertical="center"/>
    </xf>
    <xf numFmtId="0" fontId="0" fillId="0" borderId="46" xfId="0" applyFont="1" applyBorder="1" applyAlignment="1"/>
    <xf numFmtId="4" fontId="2" fillId="0" borderId="46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0" fillId="0" borderId="46" xfId="0" applyFont="1" applyFill="1" applyBorder="1" applyAlignment="1"/>
    <xf numFmtId="165" fontId="5" fillId="0" borderId="46" xfId="0" applyNumberFormat="1" applyFont="1" applyFill="1" applyBorder="1" applyAlignment="1">
      <alignment horizontal="center" vertical="center"/>
    </xf>
    <xf numFmtId="3" fontId="15" fillId="0" borderId="46" xfId="0" applyNumberFormat="1" applyFont="1" applyFill="1" applyBorder="1" applyAlignment="1">
      <alignment horizontal="right" vertical="center"/>
    </xf>
    <xf numFmtId="3" fontId="11" fillId="0" borderId="46" xfId="0" applyNumberFormat="1" applyFont="1" applyFill="1" applyBorder="1" applyAlignment="1">
      <alignment horizontal="right" vertical="center"/>
    </xf>
    <xf numFmtId="0" fontId="41" fillId="0" borderId="78" xfId="0" applyFont="1" applyBorder="1" applyAlignment="1">
      <alignment vertical="center"/>
    </xf>
    <xf numFmtId="0" fontId="31" fillId="0" borderId="79" xfId="0" applyFont="1" applyBorder="1" applyAlignment="1">
      <alignment vertical="center"/>
    </xf>
    <xf numFmtId="0" fontId="44" fillId="0" borderId="79" xfId="0" applyFont="1" applyBorder="1"/>
    <xf numFmtId="0" fontId="44" fillId="0" borderId="80" xfId="0" applyFont="1" applyBorder="1"/>
    <xf numFmtId="0" fontId="41" fillId="25" borderId="139" xfId="0" applyFont="1" applyFill="1" applyBorder="1"/>
    <xf numFmtId="0" fontId="31" fillId="25" borderId="104" xfId="0" applyFont="1" applyFill="1" applyBorder="1"/>
    <xf numFmtId="0" fontId="44" fillId="25" borderId="104" xfId="0" applyFont="1" applyFill="1" applyBorder="1" applyAlignment="1">
      <alignment vertical="center"/>
    </xf>
    <xf numFmtId="0" fontId="44" fillId="25" borderId="140" xfId="0" applyFont="1" applyFill="1" applyBorder="1" applyAlignment="1">
      <alignment vertical="center"/>
    </xf>
    <xf numFmtId="169" fontId="24" fillId="5" borderId="114" xfId="0" applyNumberFormat="1" applyFont="1" applyFill="1" applyBorder="1" applyAlignment="1">
      <alignment horizontal="right" vertical="center"/>
    </xf>
    <xf numFmtId="3" fontId="24" fillId="5" borderId="114" xfId="0" applyNumberFormat="1" applyFont="1" applyFill="1" applyBorder="1" applyAlignment="1">
      <alignment horizontal="right" vertical="center"/>
    </xf>
    <xf numFmtId="3" fontId="7" fillId="27" borderId="84" xfId="0" applyNumberFormat="1" applyFont="1" applyFill="1" applyBorder="1" applyAlignment="1">
      <alignment horizontal="right" vertical="center"/>
    </xf>
    <xf numFmtId="3" fontId="7" fillId="27" borderId="91" xfId="0" applyNumberFormat="1" applyFont="1" applyFill="1" applyBorder="1" applyAlignment="1">
      <alignment horizontal="right" vertical="center"/>
    </xf>
    <xf numFmtId="3" fontId="55" fillId="23" borderId="84" xfId="0" applyNumberFormat="1" applyFont="1" applyFill="1" applyBorder="1" applyAlignment="1">
      <alignment horizontal="right" vertical="center"/>
    </xf>
    <xf numFmtId="169" fontId="9" fillId="0" borderId="88" xfId="0" applyNumberFormat="1" applyFont="1" applyBorder="1" applyAlignment="1">
      <alignment horizontal="right" vertical="center"/>
    </xf>
    <xf numFmtId="0" fontId="56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69" fontId="9" fillId="0" borderId="97" xfId="0" applyNumberFormat="1" applyFont="1" applyFill="1" applyBorder="1" applyAlignment="1">
      <alignment horizontal="right" vertical="center"/>
    </xf>
    <xf numFmtId="0" fontId="2" fillId="0" borderId="81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3" fontId="7" fillId="0" borderId="46" xfId="0" applyNumberFormat="1" applyFont="1" applyFill="1" applyBorder="1" applyAlignment="1">
      <alignment vertical="center"/>
    </xf>
    <xf numFmtId="0" fontId="2" fillId="0" borderId="86" xfId="0" applyFont="1" applyFill="1" applyBorder="1" applyAlignment="1">
      <alignment vertical="center"/>
    </xf>
    <xf numFmtId="0" fontId="31" fillId="25" borderId="46" xfId="0" applyFont="1" applyFill="1" applyBorder="1"/>
    <xf numFmtId="0" fontId="45" fillId="25" borderId="46" xfId="0" applyFont="1" applyFill="1" applyBorder="1" applyAlignment="1">
      <alignment horizontal="center"/>
    </xf>
    <xf numFmtId="169" fontId="44" fillId="25" borderId="46" xfId="0" applyNumberFormat="1" applyFont="1" applyFill="1" applyBorder="1" applyAlignment="1">
      <alignment horizontal="right"/>
    </xf>
    <xf numFmtId="169" fontId="44" fillId="25" borderId="67" xfId="1" applyNumberFormat="1" applyFont="1" applyFill="1" applyBorder="1"/>
    <xf numFmtId="169" fontId="44" fillId="25" borderId="73" xfId="1" applyNumberFormat="1" applyFont="1" applyFill="1" applyBorder="1"/>
    <xf numFmtId="169" fontId="56" fillId="0" borderId="81" xfId="0" applyNumberFormat="1" applyFont="1" applyFill="1" applyBorder="1" applyAlignment="1">
      <alignment horizontal="right" vertical="center"/>
    </xf>
    <xf numFmtId="0" fontId="31" fillId="29" borderId="46" xfId="0" applyFont="1" applyFill="1" applyBorder="1"/>
    <xf numFmtId="0" fontId="45" fillId="29" borderId="46" xfId="0" applyFont="1" applyFill="1" applyBorder="1" applyAlignment="1">
      <alignment horizontal="center"/>
    </xf>
    <xf numFmtId="169" fontId="31" fillId="29" borderId="46" xfId="0" applyNumberFormat="1" applyFont="1" applyFill="1" applyBorder="1" applyAlignment="1">
      <alignment horizontal="right"/>
    </xf>
    <xf numFmtId="169" fontId="31" fillId="29" borderId="67" xfId="1" applyNumberFormat="1" applyFont="1" applyFill="1" applyBorder="1"/>
    <xf numFmtId="0" fontId="56" fillId="0" borderId="46" xfId="0" applyFont="1" applyBorder="1" applyAlignment="1">
      <alignment vertical="center"/>
    </xf>
    <xf numFmtId="0" fontId="56" fillId="0" borderId="46" xfId="0" applyFont="1" applyBorder="1"/>
    <xf numFmtId="169" fontId="31" fillId="25" borderId="67" xfId="0" applyNumberFormat="1" applyFont="1" applyFill="1" applyBorder="1" applyAlignment="1">
      <alignment horizontal="right"/>
    </xf>
    <xf numFmtId="0" fontId="32" fillId="0" borderId="141" xfId="0" applyFont="1" applyBorder="1" applyAlignment="1"/>
    <xf numFmtId="0" fontId="0" fillId="0" borderId="142" xfId="0" applyFont="1" applyBorder="1" applyAlignment="1"/>
    <xf numFmtId="0" fontId="0" fillId="0" borderId="72" xfId="0" applyFont="1" applyBorder="1" applyAlignment="1"/>
    <xf numFmtId="0" fontId="0" fillId="0" borderId="143" xfId="0" applyFont="1" applyBorder="1" applyAlignment="1"/>
    <xf numFmtId="0" fontId="0" fillId="0" borderId="73" xfId="0" applyFont="1" applyBorder="1" applyAlignment="1"/>
    <xf numFmtId="0" fontId="24" fillId="0" borderId="143" xfId="0" applyFont="1" applyBorder="1" applyAlignment="1"/>
    <xf numFmtId="0" fontId="24" fillId="0" borderId="46" xfId="0" applyFont="1" applyBorder="1" applyAlignment="1"/>
    <xf numFmtId="0" fontId="23" fillId="0" borderId="46" xfId="0" applyFont="1" applyBorder="1" applyAlignment="1"/>
    <xf numFmtId="0" fontId="24" fillId="0" borderId="46" xfId="0" quotePrefix="1" applyFont="1" applyBorder="1" applyAlignment="1"/>
    <xf numFmtId="0" fontId="0" fillId="0" borderId="144" xfId="0" applyFont="1" applyBorder="1" applyAlignment="1"/>
    <xf numFmtId="0" fontId="24" fillId="0" borderId="77" xfId="0" applyFont="1" applyBorder="1" applyAlignment="1"/>
    <xf numFmtId="0" fontId="0" fillId="0" borderId="77" xfId="0" applyFont="1" applyBorder="1" applyAlignment="1"/>
    <xf numFmtId="0" fontId="0" fillId="0" borderId="74" xfId="0" applyFont="1" applyBorder="1" applyAlignment="1"/>
    <xf numFmtId="3" fontId="9" fillId="0" borderId="46" xfId="0" applyNumberFormat="1" applyFont="1" applyBorder="1" applyAlignment="1">
      <alignment horizontal="right" vertical="center"/>
    </xf>
    <xf numFmtId="0" fontId="26" fillId="10" borderId="52" xfId="0" applyFont="1" applyFill="1" applyBorder="1" applyAlignment="1">
      <alignment vertical="center"/>
    </xf>
    <xf numFmtId="169" fontId="7" fillId="0" borderId="46" xfId="0" applyNumberFormat="1" applyFont="1" applyBorder="1" applyAlignment="1">
      <alignment horizontal="right" vertical="center"/>
    </xf>
    <xf numFmtId="169" fontId="11" fillId="4" borderId="46" xfId="0" applyNumberFormat="1" applyFont="1" applyFill="1" applyBorder="1" applyAlignment="1">
      <alignment horizontal="right" vertical="center"/>
    </xf>
    <xf numFmtId="0" fontId="6" fillId="4" borderId="145" xfId="0" applyFont="1" applyFill="1" applyBorder="1" applyAlignment="1">
      <alignment horizontal="center" vertical="center"/>
    </xf>
    <xf numFmtId="3" fontId="7" fillId="30" borderId="39" xfId="0" applyNumberFormat="1" applyFont="1" applyFill="1" applyBorder="1" applyAlignment="1">
      <alignment horizontal="right" vertical="center"/>
    </xf>
    <xf numFmtId="3" fontId="7" fillId="31" borderId="41" xfId="0" applyNumberFormat="1" applyFont="1" applyFill="1" applyBorder="1" applyAlignment="1">
      <alignment horizontal="right" vertical="center"/>
    </xf>
    <xf numFmtId="0" fontId="16" fillId="3" borderId="54" xfId="0" applyFont="1" applyFill="1" applyBorder="1" applyAlignment="1">
      <alignment horizontal="left" vertical="center"/>
    </xf>
    <xf numFmtId="0" fontId="7" fillId="4" borderId="61" xfId="0" applyFont="1" applyFill="1" applyBorder="1" applyAlignment="1">
      <alignment horizontal="center" vertical="center"/>
    </xf>
    <xf numFmtId="169" fontId="7" fillId="0" borderId="144" xfId="0" applyNumberFormat="1" applyFont="1" applyBorder="1" applyAlignment="1">
      <alignment vertical="center"/>
    </xf>
    <xf numFmtId="169" fontId="24" fillId="5" borderId="43" xfId="0" applyNumberFormat="1" applyFont="1" applyFill="1" applyBorder="1" applyAlignment="1">
      <alignment horizontal="right" vertical="center"/>
    </xf>
    <xf numFmtId="169" fontId="7" fillId="0" borderId="65" xfId="0" applyNumberFormat="1" applyFont="1" applyFill="1" applyBorder="1" applyAlignment="1">
      <alignment horizontal="right" vertical="center"/>
    </xf>
    <xf numFmtId="169" fontId="9" fillId="4" borderId="65" xfId="0" applyNumberFormat="1" applyFont="1" applyFill="1" applyBorder="1" applyAlignment="1">
      <alignment horizontal="right" vertical="center"/>
    </xf>
    <xf numFmtId="3" fontId="55" fillId="23" borderId="146" xfId="0" applyNumberFormat="1" applyFont="1" applyFill="1" applyBorder="1" applyAlignment="1">
      <alignment horizontal="right" vertical="center"/>
    </xf>
    <xf numFmtId="169" fontId="3" fillId="0" borderId="65" xfId="0" applyNumberFormat="1" applyFont="1" applyFill="1" applyBorder="1"/>
    <xf numFmtId="169" fontId="3" fillId="27" borderId="65" xfId="0" applyNumberFormat="1" applyFont="1" applyFill="1" applyBorder="1" applyAlignment="1">
      <alignment horizontal="right" vertical="center"/>
    </xf>
    <xf numFmtId="169" fontId="3" fillId="27" borderId="65" xfId="0" applyNumberFormat="1" applyFont="1" applyFill="1" applyBorder="1" applyAlignment="1">
      <alignment vertical="center"/>
    </xf>
    <xf numFmtId="169" fontId="52" fillId="23" borderId="141" xfId="0" applyNumberFormat="1" applyFont="1" applyFill="1" applyBorder="1" applyAlignment="1">
      <alignment horizontal="right" vertical="center"/>
    </xf>
    <xf numFmtId="169" fontId="52" fillId="4" borderId="65" xfId="0" applyNumberFormat="1" applyFont="1" applyFill="1" applyBorder="1" applyAlignment="1">
      <alignment horizontal="right" vertical="center"/>
    </xf>
    <xf numFmtId="3" fontId="9" fillId="0" borderId="147" xfId="0" applyNumberFormat="1" applyFont="1" applyBorder="1" applyAlignment="1">
      <alignment horizontal="right" vertical="center"/>
    </xf>
    <xf numFmtId="0" fontId="30" fillId="4" borderId="148" xfId="0" applyFont="1" applyFill="1" applyBorder="1" applyAlignment="1">
      <alignment horizontal="center" vertical="center" wrapText="1"/>
    </xf>
    <xf numFmtId="169" fontId="2" fillId="0" borderId="54" xfId="0" applyNumberFormat="1" applyFont="1" applyFill="1" applyBorder="1" applyAlignment="1">
      <alignment vertical="center"/>
    </xf>
    <xf numFmtId="169" fontId="16" fillId="0" borderId="54" xfId="0" applyNumberFormat="1" applyFont="1" applyBorder="1" applyAlignment="1">
      <alignment horizontal="left" vertical="center"/>
    </xf>
    <xf numFmtId="169" fontId="9" fillId="4" borderId="83" xfId="0" applyNumberFormat="1" applyFont="1" applyFill="1" applyBorder="1" applyAlignment="1">
      <alignment horizontal="right" vertical="center"/>
    </xf>
    <xf numFmtId="169" fontId="3" fillId="0" borderId="83" xfId="0" applyNumberFormat="1" applyFont="1" applyFill="1" applyBorder="1"/>
    <xf numFmtId="169" fontId="3" fillId="27" borderId="83" xfId="0" applyNumberFormat="1" applyFont="1" applyFill="1" applyBorder="1" applyAlignment="1">
      <alignment horizontal="right" vertical="center"/>
    </xf>
    <xf numFmtId="169" fontId="3" fillId="27" borderId="83" xfId="0" applyNumberFormat="1" applyFont="1" applyFill="1" applyBorder="1" applyAlignment="1">
      <alignment vertical="center"/>
    </xf>
    <xf numFmtId="169" fontId="52" fillId="23" borderId="149" xfId="0" applyNumberFormat="1" applyFont="1" applyFill="1" applyBorder="1" applyAlignment="1">
      <alignment horizontal="right" vertical="center"/>
    </xf>
    <xf numFmtId="169" fontId="52" fillId="4" borderId="83" xfId="0" applyNumberFormat="1" applyFont="1" applyFill="1" applyBorder="1" applyAlignment="1">
      <alignment horizontal="right" vertical="center"/>
    </xf>
    <xf numFmtId="3" fontId="9" fillId="0" borderId="150" xfId="0" applyNumberFormat="1" applyFont="1" applyBorder="1" applyAlignment="1">
      <alignment horizontal="right" vertical="center"/>
    </xf>
    <xf numFmtId="169" fontId="7" fillId="0" borderId="151" xfId="0" applyNumberFormat="1" applyFont="1" applyBorder="1" applyAlignment="1">
      <alignment vertical="center"/>
    </xf>
    <xf numFmtId="169" fontId="7" fillId="0" borderId="82" xfId="0" applyNumberFormat="1" applyFont="1" applyBorder="1" applyAlignment="1">
      <alignment vertical="center"/>
    </xf>
    <xf numFmtId="169" fontId="24" fillId="5" borderId="152" xfId="0" applyNumberFormat="1" applyFont="1" applyFill="1" applyBorder="1" applyAlignment="1">
      <alignment horizontal="right" vertical="center"/>
    </xf>
    <xf numFmtId="169" fontId="24" fillId="5" borderId="82" xfId="0" applyNumberFormat="1" applyFont="1" applyFill="1" applyBorder="1" applyAlignment="1">
      <alignment horizontal="right" vertical="center"/>
    </xf>
    <xf numFmtId="169" fontId="7" fillId="0" borderId="85" xfId="0" applyNumberFormat="1" applyFont="1" applyFill="1" applyBorder="1" applyAlignment="1">
      <alignment horizontal="right" vertical="center"/>
    </xf>
    <xf numFmtId="169" fontId="2" fillId="0" borderId="82" xfId="0" applyNumberFormat="1" applyFont="1" applyBorder="1" applyAlignment="1">
      <alignment vertical="center"/>
    </xf>
    <xf numFmtId="169" fontId="30" fillId="4" borderId="82" xfId="0" applyNumberFormat="1" applyFont="1" applyFill="1" applyBorder="1" applyAlignment="1">
      <alignment horizontal="center" vertical="center" wrapText="1"/>
    </xf>
    <xf numFmtId="3" fontId="55" fillId="23" borderId="82" xfId="0" applyNumberFormat="1" applyFont="1" applyFill="1" applyBorder="1" applyAlignment="1">
      <alignment horizontal="right" vertical="center"/>
    </xf>
    <xf numFmtId="169" fontId="3" fillId="0" borderId="85" xfId="0" applyNumberFormat="1" applyFont="1" applyFill="1" applyBorder="1" applyAlignment="1">
      <alignment horizontal="right" vertical="center"/>
    </xf>
    <xf numFmtId="169" fontId="23" fillId="27" borderId="85" xfId="0" applyNumberFormat="1" applyFont="1" applyFill="1" applyBorder="1" applyAlignment="1">
      <alignment horizontal="right" vertical="center"/>
    </xf>
    <xf numFmtId="169" fontId="52" fillId="23" borderId="82" xfId="0" applyNumberFormat="1" applyFont="1" applyFill="1" applyBorder="1" applyAlignment="1">
      <alignment horizontal="right" vertical="center"/>
    </xf>
    <xf numFmtId="169" fontId="56" fillId="0" borderId="81" xfId="0" applyNumberFormat="1" applyFont="1" applyFill="1" applyBorder="1" applyAlignment="1">
      <alignment vertical="center"/>
    </xf>
    <xf numFmtId="169" fontId="2" fillId="0" borderId="82" xfId="0" applyNumberFormat="1" applyFont="1" applyFill="1" applyBorder="1" applyAlignment="1">
      <alignment vertical="center"/>
    </xf>
    <xf numFmtId="169" fontId="16" fillId="0" borderId="82" xfId="0" applyNumberFormat="1" applyFont="1" applyBorder="1" applyAlignment="1">
      <alignment horizontal="left" vertical="center"/>
    </xf>
    <xf numFmtId="0" fontId="16" fillId="3" borderId="82" xfId="0" applyFont="1" applyFill="1" applyBorder="1" applyAlignment="1">
      <alignment horizontal="left" vertical="center"/>
    </xf>
    <xf numFmtId="3" fontId="7" fillId="0" borderId="144" xfId="0" applyNumberFormat="1" applyFont="1" applyBorder="1" applyAlignment="1">
      <alignment horizontal="right" vertical="center"/>
    </xf>
    <xf numFmtId="3" fontId="7" fillId="27" borderId="31" xfId="0" applyNumberFormat="1" applyFont="1" applyFill="1" applyBorder="1" applyAlignment="1">
      <alignment horizontal="right" vertical="center"/>
    </xf>
    <xf numFmtId="3" fontId="7" fillId="27" borderId="146" xfId="0" applyNumberFormat="1" applyFont="1" applyFill="1" applyBorder="1" applyAlignment="1">
      <alignment horizontal="right" vertical="center"/>
    </xf>
    <xf numFmtId="3" fontId="24" fillId="5" borderId="43" xfId="0" applyNumberFormat="1" applyFont="1" applyFill="1" applyBorder="1" applyAlignment="1">
      <alignment horizontal="right" vertical="center"/>
    </xf>
    <xf numFmtId="3" fontId="7" fillId="0" borderId="146" xfId="0" applyNumberFormat="1" applyFont="1" applyBorder="1" applyAlignment="1">
      <alignment horizontal="right" vertical="center"/>
    </xf>
    <xf numFmtId="3" fontId="7" fillId="24" borderId="146" xfId="0" applyNumberFormat="1" applyFont="1" applyFill="1" applyBorder="1" applyAlignment="1">
      <alignment horizontal="right" vertical="center"/>
    </xf>
    <xf numFmtId="3" fontId="20" fillId="0" borderId="146" xfId="0" applyNumberFormat="1" applyFont="1" applyBorder="1" applyAlignment="1">
      <alignment horizontal="right" vertical="center"/>
    </xf>
    <xf numFmtId="3" fontId="55" fillId="23" borderId="2" xfId="0" applyNumberFormat="1" applyFont="1" applyFill="1" applyBorder="1" applyAlignment="1">
      <alignment horizontal="right" vertical="center"/>
    </xf>
    <xf numFmtId="169" fontId="9" fillId="0" borderId="153" xfId="0" applyNumberFormat="1" applyFont="1" applyFill="1" applyBorder="1" applyAlignment="1">
      <alignment horizontal="right" vertical="center"/>
    </xf>
    <xf numFmtId="169" fontId="9" fillId="0" borderId="84" xfId="0" applyNumberFormat="1" applyFont="1" applyBorder="1" applyAlignment="1">
      <alignment horizontal="right" vertical="center"/>
    </xf>
    <xf numFmtId="169" fontId="7" fillId="0" borderId="146" xfId="0" applyNumberFormat="1" applyFont="1" applyBorder="1" applyAlignment="1">
      <alignment horizontal="right" vertical="center"/>
    </xf>
    <xf numFmtId="169" fontId="11" fillId="4" borderId="154" xfId="0" applyNumberFormat="1" applyFont="1" applyFill="1" applyBorder="1" applyAlignment="1">
      <alignment horizontal="right" vertical="center"/>
    </xf>
    <xf numFmtId="0" fontId="6" fillId="4" borderId="155" xfId="0" applyFont="1" applyFill="1" applyBorder="1" applyAlignment="1">
      <alignment horizontal="center" vertical="center"/>
    </xf>
    <xf numFmtId="3" fontId="7" fillId="0" borderId="84" xfId="0" applyNumberFormat="1" applyFont="1" applyBorder="1" applyAlignment="1">
      <alignment horizontal="right" vertical="center"/>
    </xf>
    <xf numFmtId="3" fontId="55" fillId="23" borderId="83" xfId="0" applyNumberFormat="1" applyFont="1" applyFill="1" applyBorder="1" applyAlignment="1">
      <alignment horizontal="right" vertical="center"/>
    </xf>
    <xf numFmtId="3" fontId="55" fillId="23" borderId="91" xfId="0" applyNumberFormat="1" applyFont="1" applyFill="1" applyBorder="1" applyAlignment="1">
      <alignment horizontal="right" vertical="center"/>
    </xf>
    <xf numFmtId="169" fontId="9" fillId="0" borderId="118" xfId="0" applyNumberFormat="1" applyFont="1" applyFill="1" applyBorder="1" applyAlignment="1">
      <alignment horizontal="right" vertical="center"/>
    </xf>
    <xf numFmtId="169" fontId="7" fillId="0" borderId="84" xfId="0" applyNumberFormat="1" applyFont="1" applyBorder="1" applyAlignment="1">
      <alignment horizontal="right" vertical="center"/>
    </xf>
    <xf numFmtId="169" fontId="11" fillId="4" borderId="156" xfId="0" applyNumberFormat="1" applyFont="1" applyFill="1" applyBorder="1" applyAlignment="1">
      <alignment horizontal="right" vertical="center"/>
    </xf>
    <xf numFmtId="0" fontId="6" fillId="4" borderId="139" xfId="0" applyFont="1" applyFill="1" applyBorder="1" applyAlignment="1">
      <alignment horizontal="center" vertical="center"/>
    </xf>
    <xf numFmtId="3" fontId="7" fillId="0" borderId="151" xfId="0" applyNumberFormat="1" applyFont="1" applyBorder="1" applyAlignment="1">
      <alignment horizontal="right" vertical="center"/>
    </xf>
    <xf numFmtId="3" fontId="7" fillId="27" borderId="97" xfId="0" applyNumberFormat="1" applyFont="1" applyFill="1" applyBorder="1" applyAlignment="1">
      <alignment horizontal="right" vertical="center"/>
    </xf>
    <xf numFmtId="3" fontId="7" fillId="27" borderId="82" xfId="0" applyNumberFormat="1" applyFont="1" applyFill="1" applyBorder="1" applyAlignment="1">
      <alignment horizontal="right" vertical="center"/>
    </xf>
    <xf numFmtId="3" fontId="7" fillId="27" borderId="157" xfId="0" applyNumberFormat="1" applyFont="1" applyFill="1" applyBorder="1" applyAlignment="1">
      <alignment horizontal="right" vertical="center"/>
    </xf>
    <xf numFmtId="3" fontId="24" fillId="5" borderId="152" xfId="0" applyNumberFormat="1" applyFont="1" applyFill="1" applyBorder="1" applyAlignment="1">
      <alignment horizontal="right" vertical="center"/>
    </xf>
    <xf numFmtId="3" fontId="24" fillId="5" borderId="82" xfId="0" applyNumberFormat="1" applyFont="1" applyFill="1" applyBorder="1" applyAlignment="1">
      <alignment horizontal="right" vertical="center"/>
    </xf>
    <xf numFmtId="3" fontId="7" fillId="24" borderId="82" xfId="0" applyNumberFormat="1" applyFont="1" applyFill="1" applyBorder="1" applyAlignment="1">
      <alignment horizontal="right" vertical="center"/>
    </xf>
    <xf numFmtId="0" fontId="6" fillId="4" borderId="82" xfId="0" applyFont="1" applyFill="1" applyBorder="1" applyAlignment="1">
      <alignment horizontal="center" vertical="center"/>
    </xf>
    <xf numFmtId="3" fontId="55" fillId="23" borderId="158" xfId="0" applyNumberFormat="1" applyFont="1" applyFill="1" applyBorder="1" applyAlignment="1">
      <alignment horizontal="right" vertical="center"/>
    </xf>
    <xf numFmtId="3" fontId="20" fillId="0" borderId="82" xfId="0" applyNumberFormat="1" applyFont="1" applyBorder="1" applyAlignment="1">
      <alignment horizontal="right" vertical="center"/>
    </xf>
    <xf numFmtId="3" fontId="7" fillId="27" borderId="159" xfId="0" applyNumberFormat="1" applyFont="1" applyFill="1" applyBorder="1" applyAlignment="1">
      <alignment horizontal="right" vertical="center"/>
    </xf>
    <xf numFmtId="3" fontId="7" fillId="0" borderId="88" xfId="0" applyNumberFormat="1" applyFont="1" applyFill="1" applyBorder="1" applyAlignment="1">
      <alignment horizontal="right" vertical="center"/>
    </xf>
    <xf numFmtId="169" fontId="9" fillId="0" borderId="82" xfId="0" applyNumberFormat="1" applyFont="1" applyFill="1" applyBorder="1" applyAlignment="1">
      <alignment horizontal="right" vertical="center"/>
    </xf>
    <xf numFmtId="169" fontId="9" fillId="0" borderId="82" xfId="0" applyNumberFormat="1" applyFont="1" applyBorder="1" applyAlignment="1">
      <alignment horizontal="right" vertical="center"/>
    </xf>
    <xf numFmtId="169" fontId="7" fillId="0" borderId="82" xfId="0" applyNumberFormat="1" applyFont="1" applyBorder="1" applyAlignment="1">
      <alignment horizontal="right" vertical="center"/>
    </xf>
    <xf numFmtId="169" fontId="11" fillId="4" borderId="94" xfId="0" applyNumberFormat="1" applyFont="1" applyFill="1" applyBorder="1" applyAlignment="1">
      <alignment horizontal="right" vertical="center"/>
    </xf>
    <xf numFmtId="0" fontId="56" fillId="0" borderId="46" xfId="0" applyFont="1" applyFill="1" applyBorder="1" applyAlignment="1">
      <alignment horizontal="right" vertical="center"/>
    </xf>
    <xf numFmtId="165" fontId="5" fillId="4" borderId="46" xfId="0" applyNumberFormat="1" applyFont="1" applyFill="1" applyBorder="1" applyAlignment="1">
      <alignment horizontal="center" vertical="center"/>
    </xf>
    <xf numFmtId="3" fontId="7" fillId="5" borderId="46" xfId="0" applyNumberFormat="1" applyFont="1" applyFill="1" applyBorder="1" applyAlignment="1">
      <alignment horizontal="right" vertical="center"/>
    </xf>
    <xf numFmtId="3" fontId="15" fillId="5" borderId="46" xfId="0" applyNumberFormat="1" applyFont="1" applyFill="1" applyBorder="1" applyAlignment="1">
      <alignment horizontal="right" vertical="center"/>
    </xf>
    <xf numFmtId="3" fontId="11" fillId="4" borderId="46" xfId="0" applyNumberFormat="1" applyFont="1" applyFill="1" applyBorder="1" applyAlignment="1">
      <alignment horizontal="right" vertical="center"/>
    </xf>
    <xf numFmtId="164" fontId="26" fillId="28" borderId="52" xfId="0" applyNumberFormat="1" applyFont="1" applyFill="1" applyBorder="1" applyAlignment="1">
      <alignment vertical="center"/>
    </xf>
    <xf numFmtId="3" fontId="7" fillId="0" borderId="65" xfId="0" applyNumberFormat="1" applyFont="1" applyBorder="1" applyAlignment="1">
      <alignment horizontal="right" vertical="center"/>
    </xf>
    <xf numFmtId="3" fontId="55" fillId="27" borderId="146" xfId="0" applyNumberFormat="1" applyFont="1" applyFill="1" applyBorder="1" applyAlignment="1">
      <alignment horizontal="right" vertical="center"/>
    </xf>
    <xf numFmtId="3" fontId="55" fillId="23" borderId="67" xfId="0" applyNumberFormat="1" applyFont="1" applyFill="1" applyBorder="1" applyAlignment="1">
      <alignment horizontal="right" vertical="center"/>
    </xf>
    <xf numFmtId="0" fontId="16" fillId="3" borderId="77" xfId="0" applyFont="1" applyFill="1" applyBorder="1" applyAlignment="1">
      <alignment horizontal="left" vertical="center"/>
    </xf>
    <xf numFmtId="0" fontId="16" fillId="3" borderId="160" xfId="0" applyFont="1" applyFill="1" applyBorder="1" applyAlignment="1">
      <alignment horizontal="left" vertical="center"/>
    </xf>
    <xf numFmtId="0" fontId="30" fillId="4" borderId="161" xfId="0" applyFont="1" applyFill="1" applyBorder="1" applyAlignment="1">
      <alignment horizontal="center" vertical="center" wrapText="1"/>
    </xf>
    <xf numFmtId="169" fontId="7" fillId="0" borderId="85" xfId="0" applyNumberFormat="1" applyFont="1" applyBorder="1" applyAlignment="1">
      <alignment vertical="center"/>
    </xf>
    <xf numFmtId="169" fontId="23" fillId="27" borderId="83" xfId="0" applyNumberFormat="1" applyFont="1" applyFill="1" applyBorder="1" applyAlignment="1">
      <alignment vertical="center"/>
    </xf>
    <xf numFmtId="169" fontId="2" fillId="0" borderId="155" xfId="0" applyNumberFormat="1" applyFont="1" applyBorder="1" applyAlignment="1">
      <alignment vertical="center"/>
    </xf>
    <xf numFmtId="169" fontId="30" fillId="4" borderId="155" xfId="0" applyNumberFormat="1" applyFont="1" applyFill="1" applyBorder="1" applyAlignment="1">
      <alignment horizontal="center" vertical="center" wrapText="1"/>
    </xf>
    <xf numFmtId="3" fontId="55" fillId="23" borderId="162" xfId="0" applyNumberFormat="1" applyFont="1" applyFill="1" applyBorder="1" applyAlignment="1">
      <alignment horizontal="right" vertical="center"/>
    </xf>
    <xf numFmtId="3" fontId="55" fillId="27" borderId="83" xfId="0" applyNumberFormat="1" applyFont="1" applyFill="1" applyBorder="1" applyAlignment="1">
      <alignment horizontal="right" vertical="center"/>
    </xf>
    <xf numFmtId="3" fontId="7" fillId="0" borderId="91" xfId="0" applyNumberFormat="1" applyFont="1" applyBorder="1" applyAlignment="1">
      <alignment horizontal="right" vertical="center"/>
    </xf>
    <xf numFmtId="169" fontId="7" fillId="0" borderId="76" xfId="0" applyNumberFormat="1" applyFont="1" applyBorder="1" applyAlignment="1">
      <alignment horizontal="right" vertical="center"/>
    </xf>
    <xf numFmtId="169" fontId="7" fillId="0" borderId="98" xfId="0" applyNumberFormat="1" applyFont="1" applyBorder="1" applyAlignment="1">
      <alignment horizontal="right" vertical="center"/>
    </xf>
    <xf numFmtId="0" fontId="6" fillId="4" borderId="161" xfId="0" applyFont="1" applyFill="1" applyBorder="1" applyAlignment="1">
      <alignment horizontal="center" vertical="center"/>
    </xf>
    <xf numFmtId="3" fontId="7" fillId="0" borderId="85" xfId="0" applyNumberFormat="1" applyFont="1" applyBorder="1" applyAlignment="1">
      <alignment horizontal="right" vertical="center"/>
    </xf>
    <xf numFmtId="3" fontId="55" fillId="27" borderId="88" xfId="0" applyNumberFormat="1" applyFont="1" applyFill="1" applyBorder="1" applyAlignment="1">
      <alignment horizontal="right" vertical="center"/>
    </xf>
    <xf numFmtId="3" fontId="55" fillId="27" borderId="82" xfId="0" applyNumberFormat="1" applyFont="1" applyFill="1" applyBorder="1" applyAlignment="1">
      <alignment horizontal="right" vertical="center"/>
    </xf>
    <xf numFmtId="3" fontId="20" fillId="0" borderId="88" xfId="0" applyNumberFormat="1" applyFont="1" applyBorder="1" applyAlignment="1">
      <alignment horizontal="right" vertical="center"/>
    </xf>
    <xf numFmtId="169" fontId="44" fillId="32" borderId="69" xfId="0" applyNumberFormat="1" applyFont="1" applyFill="1" applyBorder="1" applyAlignment="1">
      <alignment horizontal="right" vertical="center"/>
    </xf>
    <xf numFmtId="0" fontId="41" fillId="17" borderId="141" xfId="0" applyFont="1" applyFill="1" applyBorder="1" applyAlignment="1">
      <alignment horizontal="center" vertical="center"/>
    </xf>
    <xf numFmtId="14" fontId="45" fillId="17" borderId="143" xfId="0" applyNumberFormat="1" applyFont="1" applyFill="1" applyBorder="1" applyAlignment="1">
      <alignment horizontal="center" vertical="center"/>
    </xf>
    <xf numFmtId="0" fontId="45" fillId="17" borderId="144" xfId="0" applyFont="1" applyFill="1" applyBorder="1" applyAlignment="1">
      <alignment horizontal="center" vertical="center"/>
    </xf>
    <xf numFmtId="0" fontId="31" fillId="0" borderId="143" xfId="0" applyFont="1" applyFill="1" applyBorder="1" applyAlignment="1">
      <alignment horizontal="center" vertical="center"/>
    </xf>
    <xf numFmtId="169" fontId="31" fillId="17" borderId="108" xfId="0" applyNumberFormat="1" applyFont="1" applyFill="1" applyBorder="1" applyAlignment="1">
      <alignment vertical="center"/>
    </xf>
    <xf numFmtId="169" fontId="44" fillId="0" borderId="143" xfId="0" applyNumberFormat="1" applyFont="1" applyBorder="1" applyAlignment="1">
      <alignment vertical="center"/>
    </xf>
    <xf numFmtId="0" fontId="31" fillId="19" borderId="143" xfId="0" applyFont="1" applyFill="1" applyBorder="1" applyAlignment="1">
      <alignment horizontal="center" vertical="center"/>
    </xf>
    <xf numFmtId="169" fontId="44" fillId="0" borderId="143" xfId="0" applyNumberFormat="1" applyFont="1" applyBorder="1"/>
    <xf numFmtId="169" fontId="44" fillId="0" borderId="143" xfId="1" applyNumberFormat="1" applyFont="1" applyBorder="1"/>
    <xf numFmtId="169" fontId="44" fillId="0" borderId="143" xfId="1" applyNumberFormat="1" applyFont="1" applyFill="1" applyBorder="1"/>
    <xf numFmtId="169" fontId="31" fillId="19" borderId="143" xfId="0" quotePrefix="1" applyNumberFormat="1" applyFont="1" applyFill="1" applyBorder="1" applyAlignment="1">
      <alignment horizontal="right"/>
    </xf>
    <xf numFmtId="0" fontId="31" fillId="18" borderId="143" xfId="0" applyFont="1" applyFill="1" applyBorder="1" applyAlignment="1">
      <alignment horizontal="center" vertical="center"/>
    </xf>
    <xf numFmtId="169" fontId="31" fillId="26" borderId="143" xfId="1" applyNumberFormat="1" applyFont="1" applyFill="1" applyBorder="1"/>
    <xf numFmtId="169" fontId="31" fillId="29" borderId="143" xfId="1" applyNumberFormat="1" applyFont="1" applyFill="1" applyBorder="1"/>
    <xf numFmtId="169" fontId="31" fillId="18" borderId="143" xfId="0" quotePrefix="1" applyNumberFormat="1" applyFont="1" applyFill="1" applyBorder="1" applyAlignment="1">
      <alignment horizontal="right"/>
    </xf>
    <xf numFmtId="169" fontId="31" fillId="20" borderId="143" xfId="0" applyNumberFormat="1" applyFont="1" applyFill="1" applyBorder="1"/>
    <xf numFmtId="0" fontId="41" fillId="17" borderId="165" xfId="0" applyFont="1" applyFill="1" applyBorder="1" applyAlignment="1">
      <alignment horizontal="center" vertical="center"/>
    </xf>
    <xf numFmtId="0" fontId="41" fillId="17" borderId="166" xfId="0" applyFont="1" applyFill="1" applyBorder="1" applyAlignment="1">
      <alignment horizontal="center" vertical="center"/>
    </xf>
    <xf numFmtId="0" fontId="41" fillId="17" borderId="148" xfId="0" applyFont="1" applyFill="1" applyBorder="1" applyAlignment="1">
      <alignment horizontal="center" vertical="center"/>
    </xf>
    <xf numFmtId="14" fontId="45" fillId="17" borderId="167" xfId="0" applyNumberFormat="1" applyFont="1" applyFill="1" applyBorder="1" applyAlignment="1">
      <alignment horizontal="center" vertical="center"/>
    </xf>
    <xf numFmtId="14" fontId="45" fillId="17" borderId="155" xfId="0" applyNumberFormat="1" applyFont="1" applyFill="1" applyBorder="1" applyAlignment="1">
      <alignment horizontal="center" vertical="center"/>
    </xf>
    <xf numFmtId="0" fontId="45" fillId="17" borderId="151" xfId="0" applyFont="1" applyFill="1" applyBorder="1" applyAlignment="1">
      <alignment horizontal="center" vertical="center"/>
    </xf>
    <xf numFmtId="0" fontId="45" fillId="17" borderId="102" xfId="0" applyFont="1" applyFill="1" applyBorder="1" applyAlignment="1">
      <alignment horizontal="center" vertical="center"/>
    </xf>
    <xf numFmtId="0" fontId="31" fillId="0" borderId="167" xfId="0" applyFont="1" applyFill="1" applyBorder="1" applyAlignment="1">
      <alignment horizontal="center" vertical="center"/>
    </xf>
    <xf numFmtId="0" fontId="31" fillId="0" borderId="155" xfId="0" applyFont="1" applyFill="1" applyBorder="1" applyAlignment="1">
      <alignment horizontal="center" vertical="center"/>
    </xf>
    <xf numFmtId="169" fontId="31" fillId="17" borderId="168" xfId="0" applyNumberFormat="1" applyFont="1" applyFill="1" applyBorder="1" applyAlignment="1">
      <alignment vertical="center"/>
    </xf>
    <xf numFmtId="169" fontId="31" fillId="17" borderId="106" xfId="0" applyNumberFormat="1" applyFont="1" applyFill="1" applyBorder="1" applyAlignment="1">
      <alignment vertical="center"/>
    </xf>
    <xf numFmtId="169" fontId="44" fillId="0" borderId="167" xfId="0" applyNumberFormat="1" applyFont="1" applyBorder="1" applyAlignment="1">
      <alignment vertical="center"/>
    </xf>
    <xf numFmtId="169" fontId="44" fillId="0" borderId="155" xfId="0" applyNumberFormat="1" applyFont="1" applyBorder="1" applyAlignment="1">
      <alignment vertical="center"/>
    </xf>
    <xf numFmtId="0" fontId="31" fillId="19" borderId="167" xfId="0" applyFont="1" applyFill="1" applyBorder="1" applyAlignment="1">
      <alignment horizontal="center" vertical="center"/>
    </xf>
    <xf numFmtId="0" fontId="31" fillId="19" borderId="155" xfId="0" applyFont="1" applyFill="1" applyBorder="1" applyAlignment="1">
      <alignment horizontal="center" vertical="center"/>
    </xf>
    <xf numFmtId="169" fontId="44" fillId="0" borderId="167" xfId="0" applyNumberFormat="1" applyFont="1" applyBorder="1"/>
    <xf numFmtId="169" fontId="44" fillId="0" borderId="155" xfId="0" applyNumberFormat="1" applyFont="1" applyBorder="1"/>
    <xf numFmtId="169" fontId="44" fillId="0" borderId="167" xfId="1" applyNumberFormat="1" applyFont="1" applyBorder="1"/>
    <xf numFmtId="169" fontId="44" fillId="0" borderId="155" xfId="1" applyNumberFormat="1" applyFont="1" applyBorder="1"/>
    <xf numFmtId="169" fontId="44" fillId="0" borderId="167" xfId="1" applyNumberFormat="1" applyFont="1" applyFill="1" applyBorder="1"/>
    <xf numFmtId="169" fontId="44" fillId="0" borderId="155" xfId="1" applyNumberFormat="1" applyFont="1" applyFill="1" applyBorder="1"/>
    <xf numFmtId="169" fontId="31" fillId="19" borderId="167" xfId="0" quotePrefix="1" applyNumberFormat="1" applyFont="1" applyFill="1" applyBorder="1" applyAlignment="1">
      <alignment horizontal="right"/>
    </xf>
    <xf numFmtId="169" fontId="31" fillId="19" borderId="155" xfId="0" quotePrefix="1" applyNumberFormat="1" applyFont="1" applyFill="1" applyBorder="1" applyAlignment="1">
      <alignment horizontal="right"/>
    </xf>
    <xf numFmtId="0" fontId="31" fillId="18" borderId="167" xfId="0" applyFont="1" applyFill="1" applyBorder="1" applyAlignment="1">
      <alignment horizontal="center" vertical="center"/>
    </xf>
    <xf numFmtId="0" fontId="31" fillId="18" borderId="155" xfId="0" applyFont="1" applyFill="1" applyBorder="1" applyAlignment="1">
      <alignment horizontal="center" vertical="center"/>
    </xf>
    <xf numFmtId="169" fontId="31" fillId="26" borderId="167" xfId="1" applyNumberFormat="1" applyFont="1" applyFill="1" applyBorder="1"/>
    <xf numFmtId="169" fontId="31" fillId="26" borderId="155" xfId="1" applyNumberFormat="1" applyFont="1" applyFill="1" applyBorder="1"/>
    <xf numFmtId="169" fontId="31" fillId="29" borderId="167" xfId="1" applyNumberFormat="1" applyFont="1" applyFill="1" applyBorder="1"/>
    <xf numFmtId="169" fontId="31" fillId="29" borderId="155" xfId="1" applyNumberFormat="1" applyFont="1" applyFill="1" applyBorder="1"/>
    <xf numFmtId="169" fontId="31" fillId="18" borderId="167" xfId="0" quotePrefix="1" applyNumberFormat="1" applyFont="1" applyFill="1" applyBorder="1" applyAlignment="1">
      <alignment horizontal="right"/>
    </xf>
    <xf numFmtId="169" fontId="31" fillId="18" borderId="155" xfId="0" quotePrefix="1" applyNumberFormat="1" applyFont="1" applyFill="1" applyBorder="1" applyAlignment="1">
      <alignment horizontal="right"/>
    </xf>
    <xf numFmtId="169" fontId="31" fillId="20" borderId="167" xfId="0" applyNumberFormat="1" applyFont="1" applyFill="1" applyBorder="1"/>
    <xf numFmtId="169" fontId="31" fillId="20" borderId="155" xfId="0" applyNumberFormat="1" applyFont="1" applyFill="1" applyBorder="1"/>
    <xf numFmtId="0" fontId="45" fillId="0" borderId="169" xfId="0" applyFont="1" applyBorder="1" applyAlignment="1">
      <alignment horizontal="center" vertical="center"/>
    </xf>
    <xf numFmtId="0" fontId="54" fillId="0" borderId="170" xfId="0" applyFont="1" applyBorder="1" applyAlignment="1">
      <alignment horizontal="center" vertical="center"/>
    </xf>
    <xf numFmtId="17" fontId="54" fillId="0" borderId="171" xfId="0" applyNumberFormat="1" applyFont="1" applyBorder="1" applyAlignment="1">
      <alignment horizontal="center" vertical="center"/>
    </xf>
    <xf numFmtId="0" fontId="45" fillId="0" borderId="172" xfId="0" applyFont="1" applyBorder="1" applyAlignment="1">
      <alignment horizontal="right" vertical="center"/>
    </xf>
    <xf numFmtId="169" fontId="44" fillId="32" borderId="55" xfId="0" applyNumberFormat="1" applyFont="1" applyFill="1" applyBorder="1" applyAlignment="1">
      <alignment horizontal="right" vertical="center"/>
    </xf>
    <xf numFmtId="169" fontId="44" fillId="0" borderId="170" xfId="0" applyNumberFormat="1" applyFont="1" applyBorder="1" applyAlignment="1">
      <alignment horizontal="right" vertical="center"/>
    </xf>
    <xf numFmtId="169" fontId="44" fillId="19" borderId="170" xfId="0" applyNumberFormat="1" applyFont="1" applyFill="1" applyBorder="1" applyAlignment="1">
      <alignment horizontal="right" vertical="center"/>
    </xf>
    <xf numFmtId="169" fontId="44" fillId="0" borderId="170" xfId="0" applyNumberFormat="1" applyFont="1" applyBorder="1" applyAlignment="1">
      <alignment horizontal="right"/>
    </xf>
    <xf numFmtId="169" fontId="44" fillId="0" borderId="170" xfId="0" applyNumberFormat="1" applyFont="1" applyFill="1" applyBorder="1" applyAlignment="1">
      <alignment horizontal="right"/>
    </xf>
    <xf numFmtId="169" fontId="31" fillId="19" borderId="170" xfId="0" quotePrefix="1" applyNumberFormat="1" applyFont="1" applyFill="1" applyBorder="1" applyAlignment="1">
      <alignment horizontal="right"/>
    </xf>
    <xf numFmtId="169" fontId="44" fillId="18" borderId="170" xfId="0" applyNumberFormat="1" applyFont="1" applyFill="1" applyBorder="1" applyAlignment="1">
      <alignment horizontal="right" vertical="center"/>
    </xf>
    <xf numFmtId="169" fontId="31" fillId="26" borderId="170" xfId="0" quotePrefix="1" applyNumberFormat="1" applyFont="1" applyFill="1" applyBorder="1" applyAlignment="1">
      <alignment horizontal="right"/>
    </xf>
    <xf numFmtId="169" fontId="44" fillId="0" borderId="170" xfId="0" quotePrefix="1" applyNumberFormat="1" applyFont="1" applyBorder="1" applyAlignment="1">
      <alignment horizontal="right"/>
    </xf>
    <xf numFmtId="169" fontId="31" fillId="29" borderId="170" xfId="0" applyNumberFormat="1" applyFont="1" applyFill="1" applyBorder="1" applyAlignment="1">
      <alignment horizontal="right"/>
    </xf>
    <xf numFmtId="169" fontId="31" fillId="18" borderId="170" xfId="0" quotePrefix="1" applyNumberFormat="1" applyFont="1" applyFill="1" applyBorder="1" applyAlignment="1">
      <alignment horizontal="right"/>
    </xf>
    <xf numFmtId="169" fontId="31" fillId="20" borderId="170" xfId="0" quotePrefix="1" applyNumberFormat="1" applyFont="1" applyFill="1" applyBorder="1" applyAlignment="1">
      <alignment horizontal="right"/>
    </xf>
    <xf numFmtId="169" fontId="44" fillId="0" borderId="173" xfId="0" applyNumberFormat="1" applyFont="1" applyBorder="1" applyAlignment="1">
      <alignment horizontal="right"/>
    </xf>
    <xf numFmtId="169" fontId="31" fillId="18" borderId="73" xfId="0" quotePrefix="1" applyNumberFormat="1" applyFont="1" applyFill="1" applyBorder="1" applyAlignment="1">
      <alignment horizontal="right"/>
    </xf>
    <xf numFmtId="169" fontId="2" fillId="0" borderId="81" xfId="0" applyNumberFormat="1" applyFont="1" applyFill="1" applyBorder="1" applyAlignment="1">
      <alignment vertical="center"/>
    </xf>
    <xf numFmtId="169" fontId="2" fillId="0" borderId="63" xfId="0" applyNumberFormat="1" applyFont="1" applyFill="1" applyBorder="1" applyAlignment="1">
      <alignment vertical="center"/>
    </xf>
    <xf numFmtId="169" fontId="2" fillId="0" borderId="155" xfId="0" applyNumberFormat="1" applyFont="1" applyFill="1" applyBorder="1" applyAlignment="1">
      <alignment vertical="center"/>
    </xf>
    <xf numFmtId="169" fontId="9" fillId="0" borderId="174" xfId="0" applyNumberFormat="1" applyFont="1" applyFill="1" applyBorder="1" applyAlignment="1">
      <alignment horizontal="right" vertical="center"/>
    </xf>
    <xf numFmtId="169" fontId="9" fillId="0" borderId="90" xfId="0" applyNumberFormat="1" applyFont="1" applyFill="1" applyBorder="1" applyAlignment="1">
      <alignment horizontal="right" vertical="center"/>
    </xf>
    <xf numFmtId="169" fontId="9" fillId="0" borderId="164" xfId="0" applyNumberFormat="1" applyFont="1" applyBorder="1" applyAlignment="1">
      <alignment horizontal="right" vertical="center"/>
    </xf>
    <xf numFmtId="169" fontId="9" fillId="0" borderId="163" xfId="0" applyNumberFormat="1" applyFont="1" applyBorder="1" applyAlignment="1">
      <alignment horizontal="right" vertical="center"/>
    </xf>
    <xf numFmtId="169" fontId="9" fillId="0" borderId="94" xfId="0" applyNumberFormat="1" applyFont="1" applyBorder="1" applyAlignment="1">
      <alignment horizontal="right" vertical="center"/>
    </xf>
    <xf numFmtId="0" fontId="16" fillId="0" borderId="175" xfId="0" applyFont="1" applyBorder="1" applyAlignment="1">
      <alignment horizontal="left" vertical="center"/>
    </xf>
    <xf numFmtId="169" fontId="16" fillId="0" borderId="81" xfId="0" applyNumberFormat="1" applyFont="1" applyBorder="1" applyAlignment="1">
      <alignment horizontal="left" vertical="center"/>
    </xf>
    <xf numFmtId="169" fontId="16" fillId="0" borderId="139" xfId="0" applyNumberFormat="1" applyFont="1" applyBorder="1" applyAlignment="1">
      <alignment horizontal="left" vertical="center"/>
    </xf>
    <xf numFmtId="169" fontId="16" fillId="0" borderId="176" xfId="0" applyNumberFormat="1" applyFont="1" applyBorder="1" applyAlignment="1">
      <alignment horizontal="left" vertical="center"/>
    </xf>
    <xf numFmtId="169" fontId="16" fillId="0" borderId="145" xfId="0" applyNumberFormat="1" applyFont="1" applyBorder="1" applyAlignment="1">
      <alignment horizontal="left" vertical="center"/>
    </xf>
    <xf numFmtId="0" fontId="56" fillId="0" borderId="65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vertical="center"/>
    </xf>
    <xf numFmtId="169" fontId="2" fillId="0" borderId="83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90" xfId="0" applyNumberFormat="1" applyFont="1" applyBorder="1" applyAlignment="1">
      <alignment horizontal="right" vertical="center"/>
    </xf>
    <xf numFmtId="3" fontId="55" fillId="23" borderId="86" xfId="0" applyNumberFormat="1" applyFont="1" applyFill="1" applyBorder="1" applyAlignment="1">
      <alignment horizontal="right" vertical="center"/>
    </xf>
    <xf numFmtId="0" fontId="2" fillId="0" borderId="46" xfId="0" applyFont="1" applyBorder="1"/>
    <xf numFmtId="170" fontId="48" fillId="0" borderId="46" xfId="0" applyNumberFormat="1" applyFont="1" applyBorder="1" applyAlignment="1">
      <alignment horizontal="center"/>
    </xf>
    <xf numFmtId="169" fontId="57" fillId="0" borderId="46" xfId="0" applyNumberFormat="1" applyFont="1" applyFill="1" applyBorder="1" applyAlignment="1">
      <alignment horizontal="center"/>
    </xf>
    <xf numFmtId="169" fontId="57" fillId="0" borderId="46" xfId="0" applyNumberFormat="1" applyFont="1" applyBorder="1" applyAlignment="1">
      <alignment horizontal="center"/>
    </xf>
    <xf numFmtId="0" fontId="58" fillId="0" borderId="46" xfId="0" applyFont="1" applyBorder="1"/>
    <xf numFmtId="0" fontId="57" fillId="0" borderId="46" xfId="0" applyFont="1" applyBorder="1" applyAlignment="1">
      <alignment horizontal="center"/>
    </xf>
    <xf numFmtId="170" fontId="44" fillId="0" borderId="46" xfId="0" applyNumberFormat="1" applyFont="1" applyBorder="1" applyAlignment="1"/>
    <xf numFmtId="170" fontId="57" fillId="0" borderId="46" xfId="0" applyNumberFormat="1" applyFont="1" applyBorder="1" applyAlignment="1"/>
    <xf numFmtId="170" fontId="48" fillId="0" borderId="46" xfId="0" applyNumberFormat="1" applyFont="1" applyBorder="1" applyAlignment="1"/>
    <xf numFmtId="0" fontId="59" fillId="0" borderId="46" xfId="0" applyFont="1" applyBorder="1"/>
    <xf numFmtId="0" fontId="60" fillId="0" borderId="46" xfId="0" applyFont="1" applyBorder="1" applyAlignment="1">
      <alignment horizontal="center"/>
    </xf>
    <xf numFmtId="170" fontId="60" fillId="0" borderId="46" xfId="0" applyNumberFormat="1" applyFont="1" applyBorder="1" applyAlignment="1"/>
    <xf numFmtId="3" fontId="9" fillId="10" borderId="62" xfId="0" applyNumberFormat="1" applyFont="1" applyFill="1" applyBorder="1" applyAlignment="1">
      <alignment horizontal="right" vertical="center"/>
    </xf>
    <xf numFmtId="0" fontId="56" fillId="10" borderId="54" xfId="0" applyFont="1" applyFill="1" applyBorder="1" applyAlignment="1">
      <alignment horizontal="center" vertical="center" wrapText="1"/>
    </xf>
    <xf numFmtId="0" fontId="0" fillId="0" borderId="54" xfId="0" applyBorder="1"/>
    <xf numFmtId="0" fontId="0" fillId="0" borderId="54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0" fontId="0" fillId="0" borderId="65" xfId="0" applyBorder="1" applyAlignment="1">
      <alignment horizontal="center"/>
    </xf>
    <xf numFmtId="6" fontId="0" fillId="0" borderId="54" xfId="0" applyNumberFormat="1" applyBorder="1"/>
    <xf numFmtId="6" fontId="61" fillId="0" borderId="54" xfId="0" applyNumberFormat="1" applyFont="1" applyBorder="1"/>
    <xf numFmtId="0" fontId="61" fillId="0" borderId="54" xfId="0" applyFont="1" applyBorder="1"/>
    <xf numFmtId="0" fontId="61" fillId="0" borderId="0" xfId="0" applyFont="1"/>
    <xf numFmtId="0" fontId="51" fillId="0" borderId="54" xfId="0" applyFont="1" applyBorder="1" applyAlignment="1">
      <alignment horizontal="center"/>
    </xf>
    <xf numFmtId="0" fontId="0" fillId="0" borderId="54" xfId="0" applyFont="1" applyBorder="1" applyAlignment="1"/>
    <xf numFmtId="0" fontId="23" fillId="0" borderId="54" xfId="0" applyFont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61" fillId="0" borderId="54" xfId="0" applyFont="1" applyBorder="1" applyAlignment="1">
      <alignment horizontal="center" vertical="center" wrapText="1"/>
    </xf>
    <xf numFmtId="0" fontId="61" fillId="0" borderId="65" xfId="0" applyFont="1" applyBorder="1" applyAlignment="1">
      <alignment horizontal="center" vertical="center" wrapText="1"/>
    </xf>
    <xf numFmtId="0" fontId="61" fillId="0" borderId="54" xfId="0" applyFont="1" applyFill="1" applyBorder="1" applyAlignment="1">
      <alignment horizontal="center" vertical="center" wrapText="1"/>
    </xf>
    <xf numFmtId="0" fontId="26" fillId="10" borderId="52" xfId="0" applyFont="1" applyFill="1" applyBorder="1" applyAlignment="1">
      <alignment horizontal="center" vertical="center"/>
    </xf>
    <xf numFmtId="0" fontId="26" fillId="10" borderId="53" xfId="0" applyFont="1" applyFill="1" applyBorder="1" applyAlignment="1">
      <alignment horizontal="center" vertical="center"/>
    </xf>
    <xf numFmtId="0" fontId="26" fillId="10" borderId="103" xfId="0" applyFont="1" applyFill="1" applyBorder="1" applyAlignment="1">
      <alignment horizontal="center" vertical="center"/>
    </xf>
    <xf numFmtId="164" fontId="26" fillId="27" borderId="52" xfId="0" applyNumberFormat="1" applyFont="1" applyFill="1" applyBorder="1" applyAlignment="1">
      <alignment horizontal="center" vertical="center"/>
    </xf>
    <xf numFmtId="164" fontId="26" fillId="27" borderId="53" xfId="0" applyNumberFormat="1" applyFont="1" applyFill="1" applyBorder="1" applyAlignment="1">
      <alignment horizontal="center" vertical="center"/>
    </xf>
    <xf numFmtId="164" fontId="26" fillId="27" borderId="103" xfId="0" applyNumberFormat="1" applyFont="1" applyFill="1" applyBorder="1" applyAlignment="1">
      <alignment horizontal="center" vertical="center"/>
    </xf>
    <xf numFmtId="0" fontId="21" fillId="10" borderId="38" xfId="0" applyFont="1" applyFill="1" applyBorder="1" applyAlignment="1">
      <alignment horizontal="left" vertical="center" wrapText="1"/>
    </xf>
    <xf numFmtId="0" fontId="25" fillId="4" borderId="60" xfId="0" applyFont="1" applyFill="1" applyBorder="1" applyAlignment="1">
      <alignment horizontal="center" vertical="center" wrapText="1"/>
    </xf>
    <xf numFmtId="0" fontId="3" fillId="0" borderId="61" xfId="0" applyFont="1" applyBorder="1"/>
    <xf numFmtId="0" fontId="28" fillId="0" borderId="65" xfId="0" applyFont="1" applyBorder="1" applyAlignment="1">
      <alignment horizontal="left" vertical="center" wrapText="1"/>
    </xf>
    <xf numFmtId="0" fontId="28" fillId="0" borderId="66" xfId="0" applyFont="1" applyBorder="1" applyAlignment="1">
      <alignment horizontal="left" vertical="center" wrapText="1"/>
    </xf>
    <xf numFmtId="0" fontId="28" fillId="0" borderId="77" xfId="0" applyFont="1" applyBorder="1" applyAlignment="1">
      <alignment horizontal="left" vertical="center" wrapText="1"/>
    </xf>
    <xf numFmtId="0" fontId="21" fillId="10" borderId="20" xfId="0" applyFont="1" applyFill="1" applyBorder="1" applyAlignment="1">
      <alignment horizontal="left" vertical="center" wrapText="1"/>
    </xf>
    <xf numFmtId="0" fontId="3" fillId="10" borderId="20" xfId="0" applyFont="1" applyFill="1" applyBorder="1"/>
    <xf numFmtId="0" fontId="3" fillId="10" borderId="38" xfId="0" applyFont="1" applyFill="1" applyBorder="1"/>
    <xf numFmtId="0" fontId="8" fillId="10" borderId="20" xfId="0" applyFont="1" applyFill="1" applyBorder="1" applyAlignment="1">
      <alignment horizontal="left" vertical="center" wrapText="1"/>
    </xf>
    <xf numFmtId="0" fontId="26" fillId="10" borderId="78" xfId="0" applyFont="1" applyFill="1" applyBorder="1" applyAlignment="1">
      <alignment horizontal="center" vertical="center"/>
    </xf>
    <xf numFmtId="0" fontId="26" fillId="10" borderId="79" xfId="0" applyFont="1" applyFill="1" applyBorder="1" applyAlignment="1">
      <alignment horizontal="center" vertical="center"/>
    </xf>
    <xf numFmtId="0" fontId="26" fillId="10" borderId="80" xfId="0" applyFont="1" applyFill="1" applyBorder="1" applyAlignment="1">
      <alignment horizontal="center" vertical="center"/>
    </xf>
    <xf numFmtId="164" fontId="26" fillId="28" borderId="52" xfId="0" applyNumberFormat="1" applyFont="1" applyFill="1" applyBorder="1" applyAlignment="1">
      <alignment horizontal="center" vertical="center"/>
    </xf>
    <xf numFmtId="164" fontId="26" fillId="28" borderId="53" xfId="0" applyNumberFormat="1" applyFont="1" applyFill="1" applyBorder="1" applyAlignment="1">
      <alignment horizontal="center" vertical="center"/>
    </xf>
    <xf numFmtId="164" fontId="26" fillId="28" borderId="103" xfId="0" applyNumberFormat="1" applyFont="1" applyFill="1" applyBorder="1" applyAlignment="1">
      <alignment horizontal="center" vertical="center"/>
    </xf>
    <xf numFmtId="0" fontId="28" fillId="0" borderId="71" xfId="0" applyFont="1" applyBorder="1" applyAlignment="1">
      <alignment horizontal="left" vertical="center" wrapText="1"/>
    </xf>
    <xf numFmtId="0" fontId="8" fillId="10" borderId="38" xfId="0" applyFont="1" applyFill="1" applyBorder="1" applyAlignment="1">
      <alignment horizontal="left" vertical="center" wrapText="1"/>
    </xf>
    <xf numFmtId="0" fontId="21" fillId="10" borderId="59" xfId="0" applyFont="1" applyFill="1" applyBorder="1" applyAlignment="1">
      <alignment horizontal="left" vertical="center" wrapText="1"/>
    </xf>
    <xf numFmtId="3" fontId="7" fillId="33" borderId="19" xfId="0" applyNumberFormat="1" applyFont="1" applyFill="1" applyBorder="1" applyAlignment="1">
      <alignment horizontal="right" vertical="center"/>
    </xf>
    <xf numFmtId="0" fontId="7" fillId="34" borderId="21" xfId="0" applyFont="1" applyFill="1" applyBorder="1" applyAlignment="1">
      <alignment horizontal="left" vertical="center"/>
    </xf>
    <xf numFmtId="0" fontId="8" fillId="34" borderId="31" xfId="0" applyFont="1" applyFill="1" applyBorder="1" applyAlignment="1">
      <alignment vertical="center"/>
    </xf>
    <xf numFmtId="0" fontId="7" fillId="34" borderId="31" xfId="0" applyFont="1" applyFill="1" applyBorder="1" applyAlignment="1">
      <alignment vertical="center"/>
    </xf>
    <xf numFmtId="0" fontId="7" fillId="34" borderId="54" xfId="0" applyFont="1" applyFill="1" applyBorder="1" applyAlignment="1">
      <alignment vertical="center"/>
    </xf>
    <xf numFmtId="3" fontId="7" fillId="30" borderId="19" xfId="0" applyNumberFormat="1" applyFont="1" applyFill="1" applyBorder="1" applyAlignment="1">
      <alignment horizontal="right" vertical="center"/>
    </xf>
    <xf numFmtId="0" fontId="21" fillId="35" borderId="31" xfId="0" applyFont="1" applyFill="1" applyBorder="1" applyAlignment="1">
      <alignment vertical="center"/>
    </xf>
    <xf numFmtId="0" fontId="7" fillId="35" borderId="31" xfId="0" applyFont="1" applyFill="1" applyBorder="1" applyAlignment="1">
      <alignment vertical="center"/>
    </xf>
    <xf numFmtId="0" fontId="7" fillId="35" borderId="54" xfId="0" applyFont="1" applyFill="1" applyBorder="1" applyAlignment="1">
      <alignment vertical="center"/>
    </xf>
    <xf numFmtId="0" fontId="7" fillId="36" borderId="21" xfId="0" applyFont="1" applyFill="1" applyBorder="1" applyAlignment="1">
      <alignment horizontal="left" vertical="center"/>
    </xf>
    <xf numFmtId="0" fontId="7" fillId="36" borderId="31" xfId="0" applyFont="1" applyFill="1" applyBorder="1" applyAlignment="1">
      <alignment vertical="center"/>
    </xf>
    <xf numFmtId="0" fontId="7" fillId="36" borderId="54" xfId="0" applyFont="1" applyFill="1" applyBorder="1" applyAlignment="1">
      <alignment vertical="center"/>
    </xf>
    <xf numFmtId="3" fontId="7" fillId="37" borderId="19" xfId="0" applyNumberFormat="1" applyFont="1" applyFill="1" applyBorder="1" applyAlignment="1">
      <alignment horizontal="right" vertical="center"/>
    </xf>
    <xf numFmtId="0" fontId="53" fillId="35" borderId="42" xfId="0" applyFont="1" applyFill="1" applyBorder="1" applyAlignment="1">
      <alignment horizontal="left" vertical="center"/>
    </xf>
    <xf numFmtId="0" fontId="7" fillId="35" borderId="46" xfId="0" applyFont="1" applyFill="1" applyBorder="1" applyAlignment="1">
      <alignment vertical="center"/>
    </xf>
    <xf numFmtId="0" fontId="53" fillId="35" borderId="46" xfId="0" applyFont="1" applyFill="1" applyBorder="1" applyAlignment="1">
      <alignment horizontal="left" vertical="center"/>
    </xf>
    <xf numFmtId="0" fontId="8" fillId="36" borderId="31" xfId="0" applyFont="1" applyFill="1" applyBorder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</xdr:colOff>
      <xdr:row>41</xdr:row>
      <xdr:rowOff>190500</xdr:rowOff>
    </xdr:from>
    <xdr:to>
      <xdr:col>9</xdr:col>
      <xdr:colOff>729615</xdr:colOff>
      <xdr:row>43</xdr:row>
      <xdr:rowOff>40005</xdr:rowOff>
    </xdr:to>
    <xdr:sp macro="" textlink="">
      <xdr:nvSpPr>
        <xdr:cNvPr id="2" name="Flèche : droite 1">
          <a:extLst>
            <a:ext uri="{FF2B5EF4-FFF2-40B4-BE49-F238E27FC236}">
              <a16:creationId xmlns="" xmlns:a16="http://schemas.microsoft.com/office/drawing/2014/main" id="{C35DC1A8-E0BA-43A1-8764-F1C9FFDC8874}"/>
            </a:ext>
          </a:extLst>
        </xdr:cNvPr>
        <xdr:cNvSpPr/>
      </xdr:nvSpPr>
      <xdr:spPr>
        <a:xfrm rot="10800000">
          <a:off x="10959465" y="8467725"/>
          <a:ext cx="685800" cy="24955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45720</xdr:colOff>
      <xdr:row>44</xdr:row>
      <xdr:rowOff>173355</xdr:rowOff>
    </xdr:from>
    <xdr:to>
      <xdr:col>9</xdr:col>
      <xdr:colOff>731520</xdr:colOff>
      <xdr:row>46</xdr:row>
      <xdr:rowOff>15240</xdr:rowOff>
    </xdr:to>
    <xdr:sp macro="" textlink="">
      <xdr:nvSpPr>
        <xdr:cNvPr id="3" name="Flèche : droite 2">
          <a:extLst>
            <a:ext uri="{FF2B5EF4-FFF2-40B4-BE49-F238E27FC236}">
              <a16:creationId xmlns="" xmlns:a16="http://schemas.microsoft.com/office/drawing/2014/main" id="{E86F8542-CC71-4C34-970D-F0163AFA1DEB}"/>
            </a:ext>
          </a:extLst>
        </xdr:cNvPr>
        <xdr:cNvSpPr/>
      </xdr:nvSpPr>
      <xdr:spPr>
        <a:xfrm rot="10800000">
          <a:off x="10961370" y="9050655"/>
          <a:ext cx="685800" cy="241935"/>
        </a:xfrm>
        <a:prstGeom prst="rightArrow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49529</xdr:colOff>
      <xdr:row>51</xdr:row>
      <xdr:rowOff>7620</xdr:rowOff>
    </xdr:from>
    <xdr:to>
      <xdr:col>9</xdr:col>
      <xdr:colOff>714374</xdr:colOff>
      <xdr:row>52</xdr:row>
      <xdr:rowOff>20955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441D3BF8-71C5-4662-9C55-D96AE88D73AA}"/>
            </a:ext>
          </a:extLst>
        </xdr:cNvPr>
        <xdr:cNvSpPr/>
      </xdr:nvSpPr>
      <xdr:spPr>
        <a:xfrm rot="10800000">
          <a:off x="10965179" y="10294620"/>
          <a:ext cx="664845" cy="222885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</xdr:colOff>
      <xdr:row>51</xdr:row>
      <xdr:rowOff>15240</xdr:rowOff>
    </xdr:from>
    <xdr:to>
      <xdr:col>9</xdr:col>
      <xdr:colOff>758190</xdr:colOff>
      <xdr:row>52</xdr:row>
      <xdr:rowOff>15240</xdr:rowOff>
    </xdr:to>
    <xdr:sp macro="" textlink="">
      <xdr:nvSpPr>
        <xdr:cNvPr id="2" name="Flèche : droite 1">
          <a:extLst>
            <a:ext uri="{FF2B5EF4-FFF2-40B4-BE49-F238E27FC236}">
              <a16:creationId xmlns="" xmlns:a16="http://schemas.microsoft.com/office/drawing/2014/main" id="{DBB9956A-6341-4DAA-935A-FE80959B62E5}"/>
            </a:ext>
          </a:extLst>
        </xdr:cNvPr>
        <xdr:cNvSpPr/>
      </xdr:nvSpPr>
      <xdr:spPr>
        <a:xfrm rot="10800000">
          <a:off x="10988040" y="10302240"/>
          <a:ext cx="685800" cy="209550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45719</xdr:colOff>
      <xdr:row>76</xdr:row>
      <xdr:rowOff>15240</xdr:rowOff>
    </xdr:from>
    <xdr:to>
      <xdr:col>58</xdr:col>
      <xdr:colOff>628649</xdr:colOff>
      <xdr:row>77</xdr:row>
      <xdr:rowOff>28575</xdr:rowOff>
    </xdr:to>
    <xdr:sp macro="" textlink="">
      <xdr:nvSpPr>
        <xdr:cNvPr id="2" name="Flèche : droite 1">
          <a:extLst>
            <a:ext uri="{FF2B5EF4-FFF2-40B4-BE49-F238E27FC236}">
              <a16:creationId xmlns="" xmlns:a16="http://schemas.microsoft.com/office/drawing/2014/main" id="{96DAF5DB-8F43-4555-AB5E-393FAE1D68F3}"/>
            </a:ext>
          </a:extLst>
        </xdr:cNvPr>
        <xdr:cNvSpPr/>
      </xdr:nvSpPr>
      <xdr:spPr>
        <a:xfrm rot="10800000">
          <a:off x="9875519" y="15731490"/>
          <a:ext cx="687705" cy="26098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64770</xdr:colOff>
      <xdr:row>78</xdr:row>
      <xdr:rowOff>0</xdr:rowOff>
    </xdr:from>
    <xdr:to>
      <xdr:col>58</xdr:col>
      <xdr:colOff>653415</xdr:colOff>
      <xdr:row>79</xdr:row>
      <xdr:rowOff>0</xdr:rowOff>
    </xdr:to>
    <xdr:sp macro="" textlink="">
      <xdr:nvSpPr>
        <xdr:cNvPr id="3" name="Flèche : droite 2">
          <a:extLst>
            <a:ext uri="{FF2B5EF4-FFF2-40B4-BE49-F238E27FC236}">
              <a16:creationId xmlns="" xmlns:a16="http://schemas.microsoft.com/office/drawing/2014/main" id="{1CA3267A-B2A4-4286-8F8C-9C70D6EE4964}"/>
            </a:ext>
          </a:extLst>
        </xdr:cNvPr>
        <xdr:cNvSpPr/>
      </xdr:nvSpPr>
      <xdr:spPr>
        <a:xfrm rot="10800000">
          <a:off x="9894570" y="16211550"/>
          <a:ext cx="693420" cy="247650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X996"/>
  <sheetViews>
    <sheetView topLeftCell="A7" workbookViewId="0">
      <pane xSplit="12" ySplit="3" topLeftCell="M70" activePane="bottomRight" state="frozen"/>
      <selection activeCell="A7" sqref="A7"/>
      <selection pane="topRight" activeCell="L7" sqref="L7"/>
      <selection pane="bottomLeft" activeCell="A10" sqref="A10"/>
      <selection pane="bottomRight" activeCell="H48" sqref="H48"/>
    </sheetView>
  </sheetViews>
  <sheetFormatPr baseColWidth="10" defaultColWidth="12.625" defaultRowHeight="14.25"/>
  <cols>
    <col min="1" max="1" width="21.375" style="170" customWidth="1"/>
    <col min="2" max="2" width="14.125" style="170" customWidth="1"/>
    <col min="3" max="3" width="12" style="170" customWidth="1"/>
    <col min="4" max="4" width="14" style="170" customWidth="1"/>
    <col min="5" max="5" width="11.125" style="170" hidden="1" customWidth="1"/>
    <col min="6" max="6" width="11.125" style="170" customWidth="1"/>
    <col min="7" max="8" width="11" style="170" customWidth="1"/>
    <col min="9" max="9" width="1.5" style="170" customWidth="1"/>
    <col min="10" max="10" width="11.125" style="170" hidden="1" customWidth="1"/>
    <col min="11" max="11" width="11.125" style="170" customWidth="1"/>
    <col min="12" max="12" width="9.5" style="170" customWidth="1"/>
    <col min="13" max="13" width="11.125" style="170" customWidth="1"/>
    <col min="14" max="14" width="1.375" style="170" customWidth="1"/>
    <col min="15" max="25" width="11.125" style="170" hidden="1" customWidth="1"/>
    <col min="26" max="26" width="6.375" style="170" hidden="1" customWidth="1"/>
    <col min="27" max="27" width="8.375" style="170" customWidth="1"/>
    <col min="28" max="38" width="10" style="170" customWidth="1"/>
    <col min="39" max="50" width="10" style="170" hidden="1" customWidth="1"/>
    <col min="51" max="51" width="0" style="170" hidden="1" customWidth="1"/>
    <col min="52" max="16384" width="12.625" style="170"/>
  </cols>
  <sheetData>
    <row r="1" spans="1:50" ht="19.5" hidden="1" customHeight="1">
      <c r="A1" s="137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9.5" hidden="1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9.5" hidden="1" customHeight="1">
      <c r="A3" s="138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9.5" hidden="1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9.5" hidden="1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"/>
      <c r="AB5" s="1"/>
      <c r="AC5" s="1"/>
      <c r="AD5" s="1"/>
      <c r="AE5" s="1"/>
      <c r="AF5" s="1"/>
      <c r="AG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9.5" hidden="1" customHeight="1">
      <c r="A6" s="223" t="s">
        <v>28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42" customHeight="1" thickBot="1">
      <c r="A7" s="226" t="s">
        <v>191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9.5" customHeight="1" thickBot="1">
      <c r="A8" s="227" t="s">
        <v>103</v>
      </c>
      <c r="C8" s="1"/>
      <c r="D8" s="1"/>
      <c r="E8" s="613" t="s">
        <v>28</v>
      </c>
      <c r="F8" s="835" t="s">
        <v>192</v>
      </c>
      <c r="G8" s="836"/>
      <c r="H8" s="837"/>
      <c r="I8" s="389"/>
      <c r="J8" s="542" t="s">
        <v>28</v>
      </c>
      <c r="K8" s="838" t="s">
        <v>195</v>
      </c>
      <c r="L8" s="839"/>
      <c r="M8" s="840"/>
      <c r="N8" s="441"/>
      <c r="O8" s="542" t="s">
        <v>191</v>
      </c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3"/>
      <c r="AA8" s="544"/>
      <c r="AB8" s="545"/>
      <c r="AC8" s="545"/>
      <c r="AD8" s="545"/>
      <c r="AE8" s="545"/>
      <c r="AF8" s="545"/>
      <c r="AG8" s="545"/>
      <c r="AH8" s="545"/>
      <c r="AI8" s="545"/>
      <c r="AJ8" s="545"/>
      <c r="AK8" s="545"/>
      <c r="AL8" s="546"/>
      <c r="AM8" s="389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25.15" customHeight="1" thickBot="1">
      <c r="A9" s="5" t="s">
        <v>100</v>
      </c>
      <c r="B9" s="6"/>
      <c r="C9" s="6"/>
      <c r="D9" s="140"/>
      <c r="E9" s="437" t="s">
        <v>187</v>
      </c>
      <c r="F9" s="437" t="s">
        <v>188</v>
      </c>
      <c r="G9" s="465" t="s">
        <v>189</v>
      </c>
      <c r="H9" s="632" t="s">
        <v>224</v>
      </c>
      <c r="I9" s="451"/>
      <c r="J9" s="438">
        <v>2021</v>
      </c>
      <c r="K9" s="676">
        <v>2022</v>
      </c>
      <c r="L9" s="616">
        <v>2023</v>
      </c>
      <c r="M9" s="669">
        <v>2024</v>
      </c>
      <c r="N9" s="442"/>
      <c r="O9" s="547">
        <v>44227</v>
      </c>
      <c r="P9" s="548">
        <v>44248</v>
      </c>
      <c r="Q9" s="549">
        <v>44276</v>
      </c>
      <c r="R9" s="549">
        <v>44307</v>
      </c>
      <c r="S9" s="549">
        <v>44337</v>
      </c>
      <c r="T9" s="549">
        <v>44368</v>
      </c>
      <c r="U9" s="549">
        <v>44398</v>
      </c>
      <c r="V9" s="549">
        <v>44429</v>
      </c>
      <c r="W9" s="549">
        <v>44460</v>
      </c>
      <c r="X9" s="549">
        <v>44490</v>
      </c>
      <c r="Y9" s="548">
        <v>44530</v>
      </c>
      <c r="Z9" s="550" t="s">
        <v>0</v>
      </c>
      <c r="AA9" s="551">
        <v>44218</v>
      </c>
      <c r="AB9" s="551">
        <v>44249</v>
      </c>
      <c r="AC9" s="552">
        <v>44277</v>
      </c>
      <c r="AD9" s="552">
        <v>44308</v>
      </c>
      <c r="AE9" s="552">
        <v>44338</v>
      </c>
      <c r="AF9" s="552">
        <v>44369</v>
      </c>
      <c r="AG9" s="551">
        <v>44399</v>
      </c>
      <c r="AH9" s="550" t="s">
        <v>1</v>
      </c>
      <c r="AI9" s="551">
        <v>44461</v>
      </c>
      <c r="AJ9" s="551">
        <v>44491</v>
      </c>
      <c r="AK9" s="551">
        <v>44522</v>
      </c>
      <c r="AL9" s="553" t="s">
        <v>2</v>
      </c>
      <c r="AM9" s="466">
        <v>44219</v>
      </c>
      <c r="AN9" s="9" t="s">
        <v>3</v>
      </c>
      <c r="AO9" s="11">
        <v>44278</v>
      </c>
      <c r="AP9" s="11">
        <v>44309</v>
      </c>
      <c r="AQ9" s="11">
        <v>44339</v>
      </c>
      <c r="AR9" s="11">
        <v>44370</v>
      </c>
      <c r="AS9" s="10">
        <v>44400</v>
      </c>
      <c r="AT9" s="9" t="s">
        <v>4</v>
      </c>
      <c r="AU9" s="10">
        <v>44462</v>
      </c>
      <c r="AV9" s="10">
        <v>44492</v>
      </c>
      <c r="AW9" s="10">
        <v>44523</v>
      </c>
      <c r="AX9" s="9" t="s">
        <v>5</v>
      </c>
    </row>
    <row r="10" spans="1:50" ht="19.5" customHeight="1">
      <c r="A10" s="173" t="s">
        <v>6</v>
      </c>
      <c r="B10" s="174"/>
      <c r="C10" s="14"/>
      <c r="D10" s="129"/>
      <c r="E10" s="390"/>
      <c r="F10" s="642"/>
      <c r="G10" s="621"/>
      <c r="H10" s="643"/>
      <c r="I10" s="439"/>
      <c r="J10" s="426"/>
      <c r="K10" s="677"/>
      <c r="L10" s="657"/>
      <c r="M10" s="459"/>
      <c r="N10" s="443"/>
      <c r="O10" s="492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41"/>
      <c r="AA10" s="489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490"/>
      <c r="AM10" s="141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</row>
    <row r="11" spans="1:50" ht="19.5" customHeight="1">
      <c r="A11" s="20" t="s">
        <v>7</v>
      </c>
      <c r="B11" s="21"/>
      <c r="C11" s="21"/>
      <c r="D11" s="149"/>
      <c r="E11" s="391"/>
      <c r="F11" s="391"/>
      <c r="G11" s="375"/>
      <c r="H11" s="392"/>
      <c r="I11" s="439"/>
      <c r="J11" s="670">
        <f t="shared" ref="J11:J30" si="0">SUM(O11:Z11)</f>
        <v>0</v>
      </c>
      <c r="K11" s="429">
        <f>SUM(AA11:AL11)</f>
        <v>0</v>
      </c>
      <c r="L11" s="229">
        <v>0</v>
      </c>
      <c r="M11" s="459"/>
      <c r="N11" s="443"/>
      <c r="O11" s="488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491"/>
      <c r="AM11" s="46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ht="19.5" customHeight="1">
      <c r="A12" s="13" t="s">
        <v>8</v>
      </c>
      <c r="B12" s="24" t="s">
        <v>9</v>
      </c>
      <c r="C12" s="21"/>
      <c r="D12" s="149"/>
      <c r="E12" s="391"/>
      <c r="F12" s="391"/>
      <c r="G12" s="375"/>
      <c r="H12" s="392"/>
      <c r="I12" s="439"/>
      <c r="J12" s="670">
        <f t="shared" ref="J12:J14" si="1">SUM(O12:Z12)</f>
        <v>0</v>
      </c>
      <c r="K12" s="429">
        <f t="shared" ref="K12:K14" si="2">SUM(AA12:AL12)</f>
        <v>0</v>
      </c>
      <c r="L12" s="229">
        <v>0</v>
      </c>
      <c r="M12" s="459"/>
      <c r="N12" s="443"/>
      <c r="O12" s="488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491"/>
      <c r="AM12" s="46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ht="19.5" customHeight="1">
      <c r="A13" s="13" t="s">
        <v>198</v>
      </c>
      <c r="B13" s="24" t="s">
        <v>199</v>
      </c>
      <c r="C13" s="149"/>
      <c r="D13" s="149"/>
      <c r="E13" s="393">
        <v>0</v>
      </c>
      <c r="F13" s="393">
        <v>15000</v>
      </c>
      <c r="G13" s="385">
        <v>0</v>
      </c>
      <c r="H13" s="394"/>
      <c r="I13" s="439"/>
      <c r="J13" s="575">
        <f t="shared" si="1"/>
        <v>0</v>
      </c>
      <c r="K13" s="678">
        <f t="shared" si="2"/>
        <v>15000</v>
      </c>
      <c r="L13" s="658">
        <v>0</v>
      </c>
      <c r="M13" s="679"/>
      <c r="N13" s="443"/>
      <c r="O13" s="488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17"/>
      <c r="AA13" s="17"/>
      <c r="AB13" s="17"/>
      <c r="AC13" s="17">
        <v>15000</v>
      </c>
      <c r="AD13" s="17"/>
      <c r="AE13" s="17"/>
      <c r="AF13" s="17"/>
      <c r="AG13" s="17"/>
      <c r="AH13" s="17"/>
      <c r="AI13" s="17"/>
      <c r="AJ13" s="17"/>
      <c r="AK13" s="17"/>
      <c r="AL13" s="491"/>
      <c r="AM13" s="46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ht="19.5" customHeight="1" thickBot="1">
      <c r="A14" s="20" t="s">
        <v>10</v>
      </c>
      <c r="B14" s="24" t="s">
        <v>197</v>
      </c>
      <c r="C14" s="21"/>
      <c r="D14" s="149"/>
      <c r="E14" s="393">
        <v>0</v>
      </c>
      <c r="F14" s="393">
        <v>15000</v>
      </c>
      <c r="G14" s="385">
        <v>0</v>
      </c>
      <c r="H14" s="394"/>
      <c r="I14" s="439"/>
      <c r="J14" s="575">
        <f t="shared" si="1"/>
        <v>0</v>
      </c>
      <c r="K14" s="678">
        <f t="shared" si="2"/>
        <v>15000</v>
      </c>
      <c r="L14" s="658">
        <v>0</v>
      </c>
      <c r="M14" s="679"/>
      <c r="N14" s="443"/>
      <c r="O14" s="488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17"/>
      <c r="AA14" s="17"/>
      <c r="AB14" s="17"/>
      <c r="AC14" s="17"/>
      <c r="AD14" s="17">
        <v>15000</v>
      </c>
      <c r="AE14" s="17"/>
      <c r="AF14" s="17"/>
      <c r="AG14" s="17"/>
      <c r="AH14" s="17"/>
      <c r="AI14" s="17"/>
      <c r="AJ14" s="17"/>
      <c r="AK14" s="17"/>
      <c r="AL14" s="491"/>
      <c r="AM14" s="46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ht="19.5" hidden="1" customHeight="1">
      <c r="A15" s="29" t="s">
        <v>13</v>
      </c>
      <c r="B15" s="26"/>
      <c r="C15" s="26"/>
      <c r="D15" s="142"/>
      <c r="E15" s="393"/>
      <c r="F15" s="393"/>
      <c r="G15" s="385"/>
      <c r="H15" s="394"/>
      <c r="I15" s="439"/>
      <c r="J15" s="576">
        <f t="shared" si="0"/>
        <v>0</v>
      </c>
      <c r="K15" s="680">
        <f>SUM(AA15:AL15)</f>
        <v>0</v>
      </c>
      <c r="L15" s="659">
        <f t="shared" ref="L15:L35" si="3">SUM(AM15:AX15)</f>
        <v>0</v>
      </c>
      <c r="M15" s="679"/>
      <c r="N15" s="443"/>
      <c r="O15" s="492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41"/>
      <c r="AA15" s="489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490"/>
      <c r="AM15" s="141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50" ht="19.5" customHeight="1" thickBot="1">
      <c r="A16" s="30" t="s">
        <v>14</v>
      </c>
      <c r="B16" s="135" t="s">
        <v>28</v>
      </c>
      <c r="C16" s="31"/>
      <c r="D16" s="295"/>
      <c r="E16" s="573">
        <f>SUM(E11:E14)</f>
        <v>0</v>
      </c>
      <c r="F16" s="644">
        <f>SUM(F11:F14)</f>
        <v>30000</v>
      </c>
      <c r="G16" s="622">
        <f>SUM(G11:G14)</f>
        <v>0</v>
      </c>
      <c r="H16" s="645"/>
      <c r="I16" s="452"/>
      <c r="J16" s="574">
        <f>SUM(J11:J14)</f>
        <v>0</v>
      </c>
      <c r="K16" s="681">
        <f>SUM(K11:K14)</f>
        <v>30000</v>
      </c>
      <c r="L16" s="660">
        <f>SUM(L11:L14)</f>
        <v>0</v>
      </c>
      <c r="M16" s="682"/>
      <c r="N16" s="444"/>
      <c r="O16" s="494">
        <f t="shared" ref="O16:AX16" si="4">SUM(O10:O15)</f>
        <v>0</v>
      </c>
      <c r="P16" s="33">
        <f t="shared" si="4"/>
        <v>0</v>
      </c>
      <c r="Q16" s="33">
        <f t="shared" si="4"/>
        <v>0</v>
      </c>
      <c r="R16" s="33">
        <f t="shared" si="4"/>
        <v>0</v>
      </c>
      <c r="S16" s="33">
        <f t="shared" si="4"/>
        <v>0</v>
      </c>
      <c r="T16" s="33">
        <f t="shared" si="4"/>
        <v>0</v>
      </c>
      <c r="U16" s="33">
        <f t="shared" si="4"/>
        <v>0</v>
      </c>
      <c r="V16" s="33">
        <f t="shared" si="4"/>
        <v>0</v>
      </c>
      <c r="W16" s="33">
        <f t="shared" si="4"/>
        <v>0</v>
      </c>
      <c r="X16" s="33">
        <f t="shared" si="4"/>
        <v>0</v>
      </c>
      <c r="Y16" s="33">
        <f t="shared" si="4"/>
        <v>0</v>
      </c>
      <c r="Z16" s="34">
        <f t="shared" si="4"/>
        <v>0</v>
      </c>
      <c r="AA16" s="34">
        <f t="shared" si="4"/>
        <v>0</v>
      </c>
      <c r="AB16" s="34">
        <f t="shared" si="4"/>
        <v>0</v>
      </c>
      <c r="AC16" s="34">
        <f t="shared" si="4"/>
        <v>15000</v>
      </c>
      <c r="AD16" s="34">
        <f t="shared" si="4"/>
        <v>15000</v>
      </c>
      <c r="AE16" s="34">
        <f t="shared" si="4"/>
        <v>0</v>
      </c>
      <c r="AF16" s="34">
        <f t="shared" si="4"/>
        <v>0</v>
      </c>
      <c r="AG16" s="34">
        <f t="shared" si="4"/>
        <v>0</v>
      </c>
      <c r="AH16" s="34">
        <f t="shared" si="4"/>
        <v>0</v>
      </c>
      <c r="AI16" s="34">
        <f t="shared" si="4"/>
        <v>0</v>
      </c>
      <c r="AJ16" s="34">
        <f t="shared" si="4"/>
        <v>0</v>
      </c>
      <c r="AK16" s="34">
        <f t="shared" si="4"/>
        <v>0</v>
      </c>
      <c r="AL16" s="495">
        <f t="shared" si="4"/>
        <v>0</v>
      </c>
      <c r="AM16" s="469">
        <f t="shared" si="4"/>
        <v>0</v>
      </c>
      <c r="AN16" s="34">
        <f t="shared" si="4"/>
        <v>0</v>
      </c>
      <c r="AO16" s="34">
        <f t="shared" si="4"/>
        <v>0</v>
      </c>
      <c r="AP16" s="34">
        <f t="shared" si="4"/>
        <v>0</v>
      </c>
      <c r="AQ16" s="34">
        <f t="shared" si="4"/>
        <v>0</v>
      </c>
      <c r="AR16" s="34">
        <f t="shared" si="4"/>
        <v>0</v>
      </c>
      <c r="AS16" s="34">
        <f t="shared" si="4"/>
        <v>0</v>
      </c>
      <c r="AT16" s="34">
        <f t="shared" si="4"/>
        <v>0</v>
      </c>
      <c r="AU16" s="34">
        <f t="shared" si="4"/>
        <v>0</v>
      </c>
      <c r="AV16" s="34">
        <f t="shared" si="4"/>
        <v>0</v>
      </c>
      <c r="AW16" s="34">
        <f t="shared" si="4"/>
        <v>0</v>
      </c>
      <c r="AX16" s="34">
        <f t="shared" si="4"/>
        <v>0</v>
      </c>
    </row>
    <row r="17" spans="1:50" ht="19.5" customHeight="1">
      <c r="A17" s="35" t="s">
        <v>15</v>
      </c>
      <c r="B17" s="36" t="s">
        <v>16</v>
      </c>
      <c r="C17" s="14"/>
      <c r="D17" s="129"/>
      <c r="E17" s="391"/>
      <c r="F17" s="391"/>
      <c r="G17" s="375"/>
      <c r="H17" s="392"/>
      <c r="I17" s="439"/>
      <c r="J17" s="670">
        <f t="shared" ref="J17:J19" si="5">SUM(O17:Z17)</f>
        <v>0</v>
      </c>
      <c r="K17" s="429">
        <f t="shared" ref="K17:K19" si="6">SUM(AA17:AL17)</f>
        <v>0</v>
      </c>
      <c r="L17" s="229">
        <v>0</v>
      </c>
      <c r="M17" s="459"/>
      <c r="N17" s="443"/>
      <c r="O17" s="496"/>
      <c r="P17" s="38"/>
      <c r="Q17" s="39"/>
      <c r="R17" s="39"/>
      <c r="S17" s="39"/>
      <c r="T17" s="39"/>
      <c r="U17" s="39"/>
      <c r="V17" s="39"/>
      <c r="W17" s="39"/>
      <c r="X17" s="39"/>
      <c r="Y17" s="39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97"/>
      <c r="AM17" s="47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</row>
    <row r="18" spans="1:50" ht="19.5" customHeight="1">
      <c r="A18" s="175" t="s">
        <v>94</v>
      </c>
      <c r="B18" s="176" t="s">
        <v>107</v>
      </c>
      <c r="C18" s="177"/>
      <c r="D18" s="142"/>
      <c r="E18" s="391"/>
      <c r="F18" s="391"/>
      <c r="G18" s="375"/>
      <c r="H18" s="392"/>
      <c r="I18" s="439"/>
      <c r="J18" s="670">
        <f t="shared" si="5"/>
        <v>0</v>
      </c>
      <c r="K18" s="429">
        <f t="shared" si="6"/>
        <v>5000</v>
      </c>
      <c r="L18" s="661">
        <v>5000</v>
      </c>
      <c r="M18" s="459"/>
      <c r="N18" s="443"/>
      <c r="O18" s="492"/>
      <c r="P18" s="230"/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41">
        <v>200</v>
      </c>
      <c r="AB18" s="41">
        <v>200</v>
      </c>
      <c r="AC18" s="41">
        <v>200</v>
      </c>
      <c r="AD18" s="41">
        <v>200</v>
      </c>
      <c r="AE18" s="41">
        <v>200</v>
      </c>
      <c r="AF18" s="41">
        <v>200</v>
      </c>
      <c r="AG18" s="41">
        <v>0</v>
      </c>
      <c r="AH18" s="41">
        <v>0</v>
      </c>
      <c r="AI18" s="41">
        <v>600</v>
      </c>
      <c r="AJ18" s="41">
        <v>1000</v>
      </c>
      <c r="AK18" s="41">
        <v>1000</v>
      </c>
      <c r="AL18" s="493">
        <v>1200</v>
      </c>
      <c r="AM18" s="468">
        <v>300</v>
      </c>
      <c r="AN18" s="41">
        <v>300</v>
      </c>
      <c r="AO18" s="41">
        <v>300</v>
      </c>
      <c r="AP18" s="41">
        <v>300</v>
      </c>
      <c r="AQ18" s="41">
        <v>300</v>
      </c>
      <c r="AR18" s="41">
        <v>300</v>
      </c>
      <c r="AS18" s="41">
        <v>0</v>
      </c>
      <c r="AT18" s="41">
        <v>0</v>
      </c>
      <c r="AU18" s="41">
        <v>800</v>
      </c>
      <c r="AV18" s="41">
        <v>1100</v>
      </c>
      <c r="AW18" s="41">
        <v>1100</v>
      </c>
      <c r="AX18" s="41">
        <v>1200</v>
      </c>
    </row>
    <row r="19" spans="1:50" ht="19.5" customHeight="1">
      <c r="A19" s="175" t="s">
        <v>109</v>
      </c>
      <c r="B19" s="176" t="s">
        <v>108</v>
      </c>
      <c r="C19" s="228"/>
      <c r="D19" s="142"/>
      <c r="E19" s="391"/>
      <c r="F19" s="391"/>
      <c r="G19" s="375"/>
      <c r="H19" s="392"/>
      <c r="I19" s="439"/>
      <c r="J19" s="670">
        <f t="shared" si="5"/>
        <v>0</v>
      </c>
      <c r="K19" s="429">
        <f t="shared" si="6"/>
        <v>50000</v>
      </c>
      <c r="L19" s="661">
        <v>50000</v>
      </c>
      <c r="M19" s="459"/>
      <c r="N19" s="443"/>
      <c r="O19" s="492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41"/>
      <c r="AB19" s="41">
        <v>10000</v>
      </c>
      <c r="AC19" s="41"/>
      <c r="AD19" s="41">
        <v>10000</v>
      </c>
      <c r="AE19" s="41"/>
      <c r="AF19" s="41">
        <v>10000</v>
      </c>
      <c r="AG19" s="41"/>
      <c r="AH19" s="41"/>
      <c r="AI19" s="41">
        <v>10000</v>
      </c>
      <c r="AJ19" s="41">
        <v>10000</v>
      </c>
      <c r="AK19" s="41"/>
      <c r="AL19" s="493"/>
      <c r="AM19" s="468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1:50" ht="19.5" customHeight="1">
      <c r="A20" s="175" t="s">
        <v>91</v>
      </c>
      <c r="B20" s="178" t="s">
        <v>77</v>
      </c>
      <c r="C20" s="177"/>
      <c r="D20" s="142"/>
      <c r="E20" s="391"/>
      <c r="F20" s="391"/>
      <c r="G20" s="375"/>
      <c r="H20" s="392"/>
      <c r="I20" s="439"/>
      <c r="J20" s="670">
        <f t="shared" ref="J20" si="7">SUM(O20:Z20)</f>
        <v>0</v>
      </c>
      <c r="K20" s="429">
        <f t="shared" ref="K20" si="8">SUM(AA20:AL20)</f>
        <v>5760</v>
      </c>
      <c r="L20" s="661">
        <f t="shared" si="3"/>
        <v>5760</v>
      </c>
      <c r="M20" s="459"/>
      <c r="N20" s="443"/>
      <c r="O20" s="492"/>
      <c r="P20" s="230"/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41">
        <v>480</v>
      </c>
      <c r="AB20" s="41">
        <v>480</v>
      </c>
      <c r="AC20" s="41">
        <v>480</v>
      </c>
      <c r="AD20" s="41">
        <v>480</v>
      </c>
      <c r="AE20" s="41">
        <v>480</v>
      </c>
      <c r="AF20" s="41">
        <v>480</v>
      </c>
      <c r="AG20" s="41">
        <v>480</v>
      </c>
      <c r="AH20" s="41">
        <v>480</v>
      </c>
      <c r="AI20" s="41">
        <v>480</v>
      </c>
      <c r="AJ20" s="41">
        <v>480</v>
      </c>
      <c r="AK20" s="41">
        <v>480</v>
      </c>
      <c r="AL20" s="493">
        <v>480</v>
      </c>
      <c r="AM20" s="468">
        <v>480</v>
      </c>
      <c r="AN20" s="41">
        <v>480</v>
      </c>
      <c r="AO20" s="41">
        <v>480</v>
      </c>
      <c r="AP20" s="41">
        <v>480</v>
      </c>
      <c r="AQ20" s="41">
        <v>480</v>
      </c>
      <c r="AR20" s="41">
        <v>480</v>
      </c>
      <c r="AS20" s="41">
        <v>480</v>
      </c>
      <c r="AT20" s="41">
        <v>480</v>
      </c>
      <c r="AU20" s="41">
        <v>480</v>
      </c>
      <c r="AV20" s="41">
        <v>480</v>
      </c>
      <c r="AW20" s="41">
        <v>480</v>
      </c>
      <c r="AX20" s="41">
        <v>480</v>
      </c>
    </row>
    <row r="21" spans="1:50" ht="19.5" customHeight="1">
      <c r="A21" s="175" t="s">
        <v>95</v>
      </c>
      <c r="B21" s="176" t="s">
        <v>18</v>
      </c>
      <c r="C21" s="177"/>
      <c r="D21" s="142"/>
      <c r="E21" s="391"/>
      <c r="F21" s="391"/>
      <c r="G21" s="375"/>
      <c r="H21" s="392"/>
      <c r="I21" s="439"/>
      <c r="J21" s="670">
        <f t="shared" ref="J21:J23" si="9">SUM(O21:Z21)</f>
        <v>720</v>
      </c>
      <c r="K21" s="429">
        <f t="shared" ref="K21:K23" si="10">SUM(AA21:AL21)</f>
        <v>0</v>
      </c>
      <c r="L21" s="661">
        <f t="shared" si="3"/>
        <v>0</v>
      </c>
      <c r="M21" s="459"/>
      <c r="N21" s="443"/>
      <c r="O21" s="492"/>
      <c r="P21" s="230"/>
      <c r="Q21" s="230">
        <v>450</v>
      </c>
      <c r="R21" s="230">
        <v>270</v>
      </c>
      <c r="S21" s="230"/>
      <c r="T21" s="230"/>
      <c r="U21" s="230"/>
      <c r="V21" s="230"/>
      <c r="W21" s="230"/>
      <c r="X21" s="230"/>
      <c r="Y21" s="230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93"/>
      <c r="AM21" s="468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1:50" ht="19.5" customHeight="1">
      <c r="A22" s="175" t="s">
        <v>92</v>
      </c>
      <c r="B22" s="176" t="s">
        <v>78</v>
      </c>
      <c r="C22" s="177"/>
      <c r="D22" s="374"/>
      <c r="E22" s="397" t="s">
        <v>28</v>
      </c>
      <c r="F22" s="646"/>
      <c r="G22" s="623"/>
      <c r="H22" s="398"/>
      <c r="I22" s="377"/>
      <c r="J22" s="670">
        <f t="shared" si="9"/>
        <v>0</v>
      </c>
      <c r="K22" s="429">
        <f t="shared" si="10"/>
        <v>12000</v>
      </c>
      <c r="L22" s="229">
        <v>15000</v>
      </c>
      <c r="M22" s="459"/>
      <c r="N22" s="443"/>
      <c r="O22" s="498"/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/>
      <c r="AB22" s="230">
        <v>2000</v>
      </c>
      <c r="AC22" s="230"/>
      <c r="AD22" s="230">
        <v>2000</v>
      </c>
      <c r="AE22" s="230">
        <v>2000</v>
      </c>
      <c r="AF22" s="230">
        <v>0</v>
      </c>
      <c r="AG22" s="230">
        <v>0</v>
      </c>
      <c r="AH22" s="230">
        <v>2000</v>
      </c>
      <c r="AI22" s="230"/>
      <c r="AJ22" s="230">
        <v>2000</v>
      </c>
      <c r="AK22" s="230"/>
      <c r="AL22" s="493">
        <v>2000</v>
      </c>
      <c r="AM22" s="423">
        <v>7500</v>
      </c>
      <c r="AN22" s="42">
        <v>7500</v>
      </c>
      <c r="AO22" s="42">
        <v>7500</v>
      </c>
      <c r="AP22" s="42">
        <v>7500</v>
      </c>
      <c r="AQ22" s="42">
        <v>7500</v>
      </c>
      <c r="AR22" s="42">
        <v>7500</v>
      </c>
      <c r="AS22" s="42">
        <v>7500</v>
      </c>
      <c r="AT22" s="42">
        <v>7500</v>
      </c>
      <c r="AU22" s="42">
        <v>7500</v>
      </c>
      <c r="AV22" s="42">
        <v>7500</v>
      </c>
      <c r="AW22" s="42">
        <v>7500</v>
      </c>
    </row>
    <row r="23" spans="1:50" ht="19.5" customHeight="1">
      <c r="A23" s="173" t="s">
        <v>96</v>
      </c>
      <c r="B23" s="176" t="s">
        <v>271</v>
      </c>
      <c r="C23" s="177"/>
      <c r="D23" s="142"/>
      <c r="E23" s="391"/>
      <c r="F23" s="391"/>
      <c r="G23" s="375"/>
      <c r="H23" s="392"/>
      <c r="I23" s="439"/>
      <c r="J23" s="670">
        <f t="shared" si="9"/>
        <v>0</v>
      </c>
      <c r="K23" s="429">
        <f t="shared" si="10"/>
        <v>60000</v>
      </c>
      <c r="L23" s="662">
        <v>135000</v>
      </c>
      <c r="M23" s="683"/>
      <c r="N23" s="443"/>
      <c r="O23" s="492"/>
      <c r="P23" s="230"/>
      <c r="Q23" s="230"/>
      <c r="R23" s="230"/>
      <c r="S23" s="230"/>
      <c r="T23" s="230"/>
      <c r="U23" s="230"/>
      <c r="V23" s="230"/>
      <c r="W23" s="230">
        <v>0</v>
      </c>
      <c r="X23" s="230">
        <v>0</v>
      </c>
      <c r="Y23" s="230">
        <v>0</v>
      </c>
      <c r="Z23" s="230">
        <v>0</v>
      </c>
      <c r="AA23" s="41">
        <v>6000</v>
      </c>
      <c r="AB23" s="41">
        <v>6000</v>
      </c>
      <c r="AC23" s="41">
        <v>6000</v>
      </c>
      <c r="AD23" s="41">
        <v>6000</v>
      </c>
      <c r="AE23" s="41">
        <v>6000</v>
      </c>
      <c r="AF23" s="41">
        <v>6000</v>
      </c>
      <c r="AG23" s="41"/>
      <c r="AH23" s="41"/>
      <c r="AI23" s="41">
        <v>6000</v>
      </c>
      <c r="AJ23" s="41">
        <v>6000</v>
      </c>
      <c r="AK23" s="41">
        <v>6000</v>
      </c>
      <c r="AL23" s="493">
        <v>6000</v>
      </c>
      <c r="AM23" s="468">
        <v>2500</v>
      </c>
      <c r="AN23" s="41">
        <v>2500</v>
      </c>
      <c r="AO23" s="41">
        <v>2500</v>
      </c>
      <c r="AP23" s="41">
        <v>2500</v>
      </c>
      <c r="AQ23" s="41">
        <v>2500</v>
      </c>
      <c r="AR23" s="41">
        <v>2500</v>
      </c>
      <c r="AS23" s="41">
        <v>2500</v>
      </c>
      <c r="AT23" s="41">
        <v>2500</v>
      </c>
      <c r="AU23" s="41">
        <v>2500</v>
      </c>
      <c r="AV23" s="41">
        <v>2500</v>
      </c>
      <c r="AW23" s="41">
        <v>2500</v>
      </c>
      <c r="AX23" s="41">
        <v>2500</v>
      </c>
    </row>
    <row r="24" spans="1:50" ht="19.5" customHeight="1">
      <c r="A24" s="175" t="s">
        <v>97</v>
      </c>
      <c r="B24" s="178" t="s">
        <v>79</v>
      </c>
      <c r="C24" s="177"/>
      <c r="D24" s="142"/>
      <c r="E24" s="391"/>
      <c r="F24" s="391"/>
      <c r="G24" s="375"/>
      <c r="H24" s="392"/>
      <c r="I24" s="439"/>
      <c r="J24" s="670">
        <f t="shared" ref="J24" si="11">SUM(O24:Z24)</f>
        <v>0</v>
      </c>
      <c r="K24" s="429">
        <f t="shared" ref="K24" si="12">SUM(AA24:AL24)</f>
        <v>5000</v>
      </c>
      <c r="L24" s="661">
        <f t="shared" si="3"/>
        <v>27000</v>
      </c>
      <c r="M24" s="459"/>
      <c r="N24" s="443"/>
      <c r="O24" s="492"/>
      <c r="P24" s="230"/>
      <c r="Q24" s="230"/>
      <c r="R24" s="230"/>
      <c r="S24" s="230"/>
      <c r="T24" s="230"/>
      <c r="U24" s="230"/>
      <c r="V24" s="230"/>
      <c r="W24" s="230"/>
      <c r="X24" s="230">
        <v>0</v>
      </c>
      <c r="Y24" s="230">
        <v>0</v>
      </c>
      <c r="Z24" s="230">
        <v>0</v>
      </c>
      <c r="AA24" s="41"/>
      <c r="AB24" s="41"/>
      <c r="AC24" s="41"/>
      <c r="AD24" s="41"/>
      <c r="AE24" s="41"/>
      <c r="AF24" s="41">
        <v>2500</v>
      </c>
      <c r="AG24" s="41"/>
      <c r="AH24" s="41"/>
      <c r="AI24" s="41">
        <v>2500</v>
      </c>
      <c r="AJ24" s="41"/>
      <c r="AK24" s="41"/>
      <c r="AL24" s="493"/>
      <c r="AM24" s="468">
        <v>2250</v>
      </c>
      <c r="AN24" s="41">
        <v>2250</v>
      </c>
      <c r="AO24" s="41">
        <v>2250</v>
      </c>
      <c r="AP24" s="41">
        <v>2250</v>
      </c>
      <c r="AQ24" s="41">
        <v>2250</v>
      </c>
      <c r="AR24" s="41">
        <v>2250</v>
      </c>
      <c r="AS24" s="41">
        <v>2250</v>
      </c>
      <c r="AT24" s="41">
        <v>2250</v>
      </c>
      <c r="AU24" s="41">
        <v>2250</v>
      </c>
      <c r="AV24" s="41">
        <v>2250</v>
      </c>
      <c r="AW24" s="41">
        <v>2250</v>
      </c>
      <c r="AX24" s="41">
        <v>2250</v>
      </c>
    </row>
    <row r="25" spans="1:50" ht="19.5" customHeight="1">
      <c r="A25" s="187" t="s">
        <v>98</v>
      </c>
      <c r="B25" s="176" t="s">
        <v>81</v>
      </c>
      <c r="C25" s="177"/>
      <c r="D25" s="388"/>
      <c r="E25" s="391"/>
      <c r="F25" s="391"/>
      <c r="G25" s="375"/>
      <c r="H25" s="392"/>
      <c r="I25" s="439"/>
      <c r="J25" s="670">
        <f t="shared" ref="J25" si="13">SUM(O25:Z25)</f>
        <v>5000</v>
      </c>
      <c r="K25" s="429">
        <f t="shared" ref="K25" si="14">SUM(AA25:AL25)</f>
        <v>35000</v>
      </c>
      <c r="L25" s="661">
        <v>40000</v>
      </c>
      <c r="M25" s="459"/>
      <c r="N25" s="443"/>
      <c r="O25" s="492"/>
      <c r="P25" s="230"/>
      <c r="Q25" s="230"/>
      <c r="R25" s="230"/>
      <c r="S25" s="230"/>
      <c r="T25" s="230"/>
      <c r="U25" s="230"/>
      <c r="V25" s="230"/>
      <c r="W25" s="230"/>
      <c r="X25" s="230">
        <v>3000</v>
      </c>
      <c r="Y25" s="230">
        <v>1000</v>
      </c>
      <c r="Z25" s="230">
        <v>1000</v>
      </c>
      <c r="AA25" s="230">
        <v>2500</v>
      </c>
      <c r="AB25" s="230">
        <v>2500</v>
      </c>
      <c r="AC25" s="230">
        <v>3750</v>
      </c>
      <c r="AD25" s="230">
        <v>3750</v>
      </c>
      <c r="AE25" s="230">
        <v>3750</v>
      </c>
      <c r="AF25" s="230">
        <v>3750</v>
      </c>
      <c r="AG25" s="230"/>
      <c r="AH25" s="230"/>
      <c r="AI25" s="230">
        <v>3750</v>
      </c>
      <c r="AJ25" s="230">
        <v>3750</v>
      </c>
      <c r="AK25" s="230">
        <v>3750</v>
      </c>
      <c r="AL25" s="493">
        <v>3750</v>
      </c>
      <c r="AM25" s="423"/>
      <c r="AN25" s="41">
        <v>10000</v>
      </c>
      <c r="AO25" s="41">
        <v>10000</v>
      </c>
      <c r="AP25" s="41">
        <v>10000</v>
      </c>
      <c r="AQ25" s="41">
        <v>10000</v>
      </c>
      <c r="AR25" s="41">
        <v>10000</v>
      </c>
      <c r="AS25" s="41">
        <v>10000</v>
      </c>
      <c r="AT25" s="41">
        <v>10000</v>
      </c>
      <c r="AU25" s="41">
        <v>10000</v>
      </c>
      <c r="AV25" s="41">
        <v>10000</v>
      </c>
      <c r="AW25" s="41">
        <v>10000</v>
      </c>
      <c r="AX25" s="41">
        <v>10000</v>
      </c>
    </row>
    <row r="26" spans="1:50" ht="19.5" hidden="1" customHeight="1">
      <c r="A26" s="13" t="s">
        <v>17</v>
      </c>
      <c r="B26" s="26"/>
      <c r="C26" s="26"/>
      <c r="D26" s="388"/>
      <c r="E26" s="391"/>
      <c r="F26" s="391"/>
      <c r="G26" s="375"/>
      <c r="H26" s="392"/>
      <c r="I26" s="439"/>
      <c r="J26" s="670">
        <f t="shared" si="0"/>
        <v>0</v>
      </c>
      <c r="K26" s="427">
        <f t="shared" ref="K26:K30" si="15">SUM(AA26:AL26)</f>
        <v>0</v>
      </c>
      <c r="L26" s="661">
        <f t="shared" si="3"/>
        <v>0</v>
      </c>
      <c r="M26" s="459"/>
      <c r="N26" s="443"/>
      <c r="O26" s="492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93"/>
      <c r="AM26" s="468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</row>
    <row r="27" spans="1:50" ht="19.5" hidden="1" customHeight="1">
      <c r="A27" s="13" t="s">
        <v>19</v>
      </c>
      <c r="B27" s="26"/>
      <c r="C27" s="26"/>
      <c r="D27" s="388"/>
      <c r="E27" s="391"/>
      <c r="F27" s="391"/>
      <c r="G27" s="375"/>
      <c r="H27" s="392"/>
      <c r="I27" s="439"/>
      <c r="J27" s="670">
        <f t="shared" si="0"/>
        <v>0</v>
      </c>
      <c r="K27" s="427">
        <f t="shared" si="15"/>
        <v>0</v>
      </c>
      <c r="L27" s="661">
        <f t="shared" si="3"/>
        <v>0</v>
      </c>
      <c r="M27" s="459"/>
      <c r="N27" s="443"/>
      <c r="O27" s="492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93"/>
      <c r="AM27" s="468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</row>
    <row r="28" spans="1:50" ht="19.5" hidden="1" customHeight="1">
      <c r="A28" s="13" t="s">
        <v>20</v>
      </c>
      <c r="B28" s="26"/>
      <c r="C28" s="26"/>
      <c r="D28" s="388"/>
      <c r="E28" s="391"/>
      <c r="F28" s="391"/>
      <c r="G28" s="375"/>
      <c r="H28" s="392"/>
      <c r="I28" s="439"/>
      <c r="J28" s="670">
        <f t="shared" si="0"/>
        <v>0</v>
      </c>
      <c r="K28" s="427">
        <f t="shared" si="15"/>
        <v>0</v>
      </c>
      <c r="L28" s="661">
        <f t="shared" si="3"/>
        <v>0</v>
      </c>
      <c r="M28" s="459"/>
      <c r="N28" s="443"/>
      <c r="O28" s="492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93"/>
      <c r="AM28" s="468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</row>
    <row r="29" spans="1:50" ht="19.5" hidden="1" customHeight="1">
      <c r="A29" s="13" t="s">
        <v>21</v>
      </c>
      <c r="B29" s="26"/>
      <c r="C29" s="26"/>
      <c r="D29" s="388"/>
      <c r="E29" s="391"/>
      <c r="F29" s="391"/>
      <c r="G29" s="375"/>
      <c r="H29" s="392"/>
      <c r="I29" s="439"/>
      <c r="J29" s="670">
        <f t="shared" si="0"/>
        <v>0</v>
      </c>
      <c r="K29" s="427">
        <f t="shared" si="15"/>
        <v>0</v>
      </c>
      <c r="L29" s="661">
        <f t="shared" si="3"/>
        <v>0</v>
      </c>
      <c r="M29" s="459"/>
      <c r="N29" s="443"/>
      <c r="O29" s="492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93"/>
      <c r="AM29" s="468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</row>
    <row r="30" spans="1:50" ht="19.5" hidden="1" customHeight="1">
      <c r="A30" s="13" t="s">
        <v>22</v>
      </c>
      <c r="B30" s="26"/>
      <c r="C30" s="26"/>
      <c r="D30" s="388"/>
      <c r="E30" s="391"/>
      <c r="F30" s="391"/>
      <c r="G30" s="375"/>
      <c r="H30" s="392"/>
      <c r="I30" s="439"/>
      <c r="J30" s="670">
        <f t="shared" si="0"/>
        <v>0</v>
      </c>
      <c r="K30" s="427">
        <f t="shared" si="15"/>
        <v>0</v>
      </c>
      <c r="L30" s="661">
        <f t="shared" si="3"/>
        <v>0</v>
      </c>
      <c r="M30" s="459"/>
      <c r="N30" s="443"/>
      <c r="O30" s="492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93"/>
      <c r="AM30" s="468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</row>
    <row r="31" spans="1:50" ht="19.5" customHeight="1">
      <c r="A31" s="188" t="s">
        <v>23</v>
      </c>
      <c r="B31" s="189" t="s">
        <v>82</v>
      </c>
      <c r="C31" s="190"/>
      <c r="D31" s="388"/>
      <c r="E31" s="393">
        <v>10116</v>
      </c>
      <c r="F31" s="393">
        <v>7883</v>
      </c>
      <c r="G31" s="385">
        <v>0</v>
      </c>
      <c r="H31" s="394"/>
      <c r="I31" s="439"/>
      <c r="J31" s="575">
        <f>SUM(O31:Z31)</f>
        <v>10117</v>
      </c>
      <c r="K31" s="428">
        <f>SUM(AA31:AL31)</f>
        <v>7883</v>
      </c>
      <c r="L31" s="659">
        <f t="shared" si="3"/>
        <v>0</v>
      </c>
      <c r="M31" s="679"/>
      <c r="N31" s="443"/>
      <c r="O31" s="499"/>
      <c r="P31" s="44"/>
      <c r="Q31" s="44"/>
      <c r="R31" s="44"/>
      <c r="S31" s="44"/>
      <c r="T31" s="44">
        <v>10117</v>
      </c>
      <c r="U31" s="167" t="s">
        <v>28</v>
      </c>
      <c r="V31" s="44"/>
      <c r="W31" s="44"/>
      <c r="X31" s="44"/>
      <c r="Y31" s="44"/>
      <c r="Z31" s="45"/>
      <c r="AA31" s="45">
        <v>7883</v>
      </c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500"/>
      <c r="AM31" s="471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</row>
    <row r="32" spans="1:50" ht="19.5" customHeight="1">
      <c r="A32" s="183" t="s">
        <v>23</v>
      </c>
      <c r="B32" s="186" t="s">
        <v>83</v>
      </c>
      <c r="C32" s="185"/>
      <c r="D32" s="388"/>
      <c r="E32" s="393">
        <v>5000</v>
      </c>
      <c r="F32" s="393">
        <v>0</v>
      </c>
      <c r="G32" s="385">
        <v>0</v>
      </c>
      <c r="H32" s="394"/>
      <c r="I32" s="439"/>
      <c r="J32" s="575">
        <f>SUM(O32:Z32)</f>
        <v>5000</v>
      </c>
      <c r="K32" s="428">
        <f>SUM(AA32:AL32)</f>
        <v>0</v>
      </c>
      <c r="L32" s="659">
        <f t="shared" si="3"/>
        <v>0</v>
      </c>
      <c r="M32" s="679"/>
      <c r="N32" s="443"/>
      <c r="O32" s="501"/>
      <c r="P32" s="47"/>
      <c r="Q32" s="47"/>
      <c r="R32" s="47">
        <v>0</v>
      </c>
      <c r="S32" s="47">
        <v>0</v>
      </c>
      <c r="T32" s="47">
        <v>0</v>
      </c>
      <c r="U32" s="47">
        <v>5000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502">
        <v>0</v>
      </c>
      <c r="AM32" s="472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7">
        <v>0</v>
      </c>
      <c r="AX32" s="47">
        <v>0</v>
      </c>
    </row>
    <row r="33" spans="1:50" ht="19.5" customHeight="1">
      <c r="A33" s="191" t="s">
        <v>25</v>
      </c>
      <c r="B33" s="192" t="s">
        <v>26</v>
      </c>
      <c r="C33" s="193"/>
      <c r="D33" s="388"/>
      <c r="E33" s="391"/>
      <c r="F33" s="391"/>
      <c r="G33" s="375"/>
      <c r="H33" s="392"/>
      <c r="I33" s="439"/>
      <c r="J33" s="670">
        <f t="shared" ref="J33:J35" si="16">SUM(O33:Z33)</f>
        <v>8279.3250000000007</v>
      </c>
      <c r="K33" s="429">
        <f t="shared" ref="K33:K35" si="17">SUM(AA33:AL33)</f>
        <v>0</v>
      </c>
      <c r="L33" s="661">
        <f t="shared" si="3"/>
        <v>0</v>
      </c>
      <c r="M33" s="459"/>
      <c r="N33" s="443"/>
      <c r="O33" s="503"/>
      <c r="P33" s="50"/>
      <c r="Q33" s="50"/>
      <c r="R33" s="52">
        <f t="shared" ref="R33:Z33" si="18">+(R74+R75)*0.5935</f>
        <v>919.92500000000007</v>
      </c>
      <c r="S33" s="52">
        <f t="shared" si="18"/>
        <v>919.92500000000007</v>
      </c>
      <c r="T33" s="52">
        <f t="shared" si="18"/>
        <v>919.92500000000007</v>
      </c>
      <c r="U33" s="52">
        <f t="shared" si="18"/>
        <v>919.92500000000007</v>
      </c>
      <c r="V33" s="52">
        <f t="shared" si="18"/>
        <v>919.92500000000007</v>
      </c>
      <c r="W33" s="52">
        <f t="shared" si="18"/>
        <v>919.92500000000007</v>
      </c>
      <c r="X33" s="52">
        <f t="shared" si="18"/>
        <v>919.92500000000007</v>
      </c>
      <c r="Y33" s="52">
        <f t="shared" si="18"/>
        <v>919.92500000000007</v>
      </c>
      <c r="Z33" s="52">
        <f t="shared" si="18"/>
        <v>919.92500000000007</v>
      </c>
      <c r="AA33" s="52">
        <v>0</v>
      </c>
      <c r="AB33" s="52">
        <v>0</v>
      </c>
      <c r="AC33" s="52">
        <v>0</v>
      </c>
      <c r="AD33" s="52">
        <v>0</v>
      </c>
      <c r="AE33" s="52">
        <v>0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04">
        <v>0</v>
      </c>
      <c r="AM33" s="473">
        <v>0</v>
      </c>
      <c r="AN33" s="52">
        <v>0</v>
      </c>
      <c r="AO33" s="52">
        <v>0</v>
      </c>
      <c r="AP33" s="52"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0</v>
      </c>
    </row>
    <row r="34" spans="1:50" ht="19.5" customHeight="1">
      <c r="A34" s="191" t="s">
        <v>25</v>
      </c>
      <c r="B34" s="192" t="s">
        <v>27</v>
      </c>
      <c r="C34" s="193"/>
      <c r="D34" s="388"/>
      <c r="E34" s="391"/>
      <c r="F34" s="391"/>
      <c r="G34" s="375"/>
      <c r="H34" s="392"/>
      <c r="I34" s="439"/>
      <c r="J34" s="670">
        <f t="shared" si="16"/>
        <v>9276.4050000000007</v>
      </c>
      <c r="K34" s="429">
        <f t="shared" si="17"/>
        <v>1762.9250000000002</v>
      </c>
      <c r="L34" s="661">
        <f t="shared" si="3"/>
        <v>0</v>
      </c>
      <c r="M34" s="459"/>
      <c r="N34" s="443"/>
      <c r="O34" s="503"/>
      <c r="P34" s="52">
        <f t="shared" ref="P34:AA34" si="19">+(P72+P73)*0.5935</f>
        <v>77.155000000000001</v>
      </c>
      <c r="Q34" s="52">
        <f t="shared" si="19"/>
        <v>919.92500000000007</v>
      </c>
      <c r="R34" s="52">
        <f t="shared" si="19"/>
        <v>919.92500000000007</v>
      </c>
      <c r="S34" s="52">
        <f t="shared" si="19"/>
        <v>919.92500000000007</v>
      </c>
      <c r="T34" s="52">
        <f t="shared" si="19"/>
        <v>919.92500000000007</v>
      </c>
      <c r="U34" s="52">
        <f t="shared" si="19"/>
        <v>919.92500000000007</v>
      </c>
      <c r="V34" s="52">
        <f t="shared" si="19"/>
        <v>919.92500000000007</v>
      </c>
      <c r="W34" s="52">
        <f t="shared" si="19"/>
        <v>919.92500000000007</v>
      </c>
      <c r="X34" s="52">
        <f t="shared" si="19"/>
        <v>919.92500000000007</v>
      </c>
      <c r="Y34" s="52">
        <f t="shared" si="19"/>
        <v>919.92500000000007</v>
      </c>
      <c r="Z34" s="52">
        <f t="shared" si="19"/>
        <v>919.92500000000007</v>
      </c>
      <c r="AA34" s="52">
        <f t="shared" si="19"/>
        <v>919.92500000000007</v>
      </c>
      <c r="AB34" s="52">
        <v>843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0</v>
      </c>
      <c r="AI34" s="52">
        <v>0</v>
      </c>
      <c r="AJ34" s="52">
        <v>0</v>
      </c>
      <c r="AK34" s="52">
        <v>0</v>
      </c>
      <c r="AL34" s="504">
        <v>0</v>
      </c>
      <c r="AM34" s="473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 s="52">
        <v>0</v>
      </c>
      <c r="AX34" s="52">
        <v>0</v>
      </c>
    </row>
    <row r="35" spans="1:50" ht="19.5" customHeight="1" thickBot="1">
      <c r="A35" s="199" t="s">
        <v>84</v>
      </c>
      <c r="B35" s="200" t="s">
        <v>104</v>
      </c>
      <c r="C35" s="194"/>
      <c r="D35" s="334"/>
      <c r="E35" s="391"/>
      <c r="F35" s="391"/>
      <c r="G35" s="375"/>
      <c r="H35" s="392"/>
      <c r="I35" s="439"/>
      <c r="J35" s="670">
        <f t="shared" si="16"/>
        <v>4700</v>
      </c>
      <c r="K35" s="429">
        <f t="shared" si="17"/>
        <v>11407</v>
      </c>
      <c r="L35" s="661">
        <f t="shared" si="3"/>
        <v>0</v>
      </c>
      <c r="M35" s="459"/>
      <c r="N35" s="443"/>
      <c r="O35" s="505"/>
      <c r="P35" s="197"/>
      <c r="Q35" s="197"/>
      <c r="R35" s="197"/>
      <c r="S35" s="197"/>
      <c r="T35" s="197"/>
      <c r="U35" s="197"/>
      <c r="V35" s="197"/>
      <c r="W35" s="197">
        <v>671</v>
      </c>
      <c r="X35" s="197">
        <v>1343</v>
      </c>
      <c r="Y35" s="197">
        <v>1343</v>
      </c>
      <c r="Z35" s="197">
        <v>1343</v>
      </c>
      <c r="AA35" s="197">
        <v>1343</v>
      </c>
      <c r="AB35" s="197">
        <v>1343</v>
      </c>
      <c r="AC35" s="197">
        <v>1343</v>
      </c>
      <c r="AD35" s="197">
        <v>1343</v>
      </c>
      <c r="AE35" s="197">
        <v>1343</v>
      </c>
      <c r="AF35" s="197">
        <v>1343</v>
      </c>
      <c r="AG35" s="197">
        <v>1343</v>
      </c>
      <c r="AH35" s="197">
        <v>1343</v>
      </c>
      <c r="AI35" s="198">
        <v>663</v>
      </c>
      <c r="AJ35" s="198"/>
      <c r="AK35" s="198"/>
      <c r="AL35" s="506"/>
      <c r="AM35" s="196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</row>
    <row r="36" spans="1:50" ht="19.5" customHeight="1" thickBot="1">
      <c r="A36" s="30" t="s">
        <v>29</v>
      </c>
      <c r="B36" s="135" t="s">
        <v>28</v>
      </c>
      <c r="C36" s="31"/>
      <c r="D36" s="150"/>
      <c r="E36" s="399">
        <f>SUM(E17:E35)</f>
        <v>15116</v>
      </c>
      <c r="F36" s="399">
        <f>SUM(F17:F35)</f>
        <v>7883</v>
      </c>
      <c r="G36" s="378">
        <f>SUM(G17:G35)</f>
        <v>0</v>
      </c>
      <c r="H36" s="400"/>
      <c r="I36" s="445"/>
      <c r="J36" s="671">
        <f>SUM(J17:J35)</f>
        <v>43092.73</v>
      </c>
      <c r="K36" s="406">
        <f>SUM(K17:K35)</f>
        <v>193812.92499999999</v>
      </c>
      <c r="L36" s="625">
        <f>SUM(L17:L35)</f>
        <v>277760</v>
      </c>
      <c r="M36" s="649"/>
      <c r="N36" s="444"/>
      <c r="O36" s="494">
        <f t="shared" ref="O36:AX36" si="20">SUM(O17:O35)</f>
        <v>0</v>
      </c>
      <c r="P36" s="422">
        <f t="shared" si="20"/>
        <v>77.155000000000001</v>
      </c>
      <c r="Q36" s="422">
        <f t="shared" si="20"/>
        <v>1369.9250000000002</v>
      </c>
      <c r="R36" s="422">
        <f t="shared" si="20"/>
        <v>2109.8500000000004</v>
      </c>
      <c r="S36" s="422">
        <f t="shared" si="20"/>
        <v>1839.8500000000001</v>
      </c>
      <c r="T36" s="422">
        <f t="shared" si="20"/>
        <v>11956.849999999999</v>
      </c>
      <c r="U36" s="422">
        <f t="shared" si="20"/>
        <v>6839.85</v>
      </c>
      <c r="V36" s="422">
        <f t="shared" si="20"/>
        <v>1839.8500000000001</v>
      </c>
      <c r="W36" s="422">
        <f t="shared" si="20"/>
        <v>2510.8500000000004</v>
      </c>
      <c r="X36" s="422">
        <f t="shared" si="20"/>
        <v>6182.85</v>
      </c>
      <c r="Y36" s="422">
        <f t="shared" si="20"/>
        <v>4182.8500000000004</v>
      </c>
      <c r="Z36" s="422">
        <f t="shared" si="20"/>
        <v>4182.8500000000004</v>
      </c>
      <c r="AA36" s="422">
        <f t="shared" si="20"/>
        <v>19325.924999999999</v>
      </c>
      <c r="AB36" s="422">
        <f t="shared" si="20"/>
        <v>23366</v>
      </c>
      <c r="AC36" s="422">
        <f t="shared" si="20"/>
        <v>11773</v>
      </c>
      <c r="AD36" s="422">
        <f t="shared" si="20"/>
        <v>23773</v>
      </c>
      <c r="AE36" s="422">
        <f t="shared" si="20"/>
        <v>13773</v>
      </c>
      <c r="AF36" s="422">
        <f t="shared" si="20"/>
        <v>24273</v>
      </c>
      <c r="AG36" s="422">
        <f t="shared" si="20"/>
        <v>1823</v>
      </c>
      <c r="AH36" s="422">
        <f t="shared" si="20"/>
        <v>3823</v>
      </c>
      <c r="AI36" s="422">
        <f t="shared" si="20"/>
        <v>23993</v>
      </c>
      <c r="AJ36" s="422">
        <f t="shared" si="20"/>
        <v>23230</v>
      </c>
      <c r="AK36" s="422">
        <f t="shared" si="20"/>
        <v>11230</v>
      </c>
      <c r="AL36" s="507">
        <f t="shared" si="20"/>
        <v>13430</v>
      </c>
      <c r="AM36" s="422">
        <f t="shared" si="20"/>
        <v>13030</v>
      </c>
      <c r="AN36" s="32">
        <f t="shared" si="20"/>
        <v>23030</v>
      </c>
      <c r="AO36" s="32">
        <f t="shared" si="20"/>
        <v>23030</v>
      </c>
      <c r="AP36" s="32">
        <f t="shared" si="20"/>
        <v>23030</v>
      </c>
      <c r="AQ36" s="32">
        <f t="shared" si="20"/>
        <v>23030</v>
      </c>
      <c r="AR36" s="32">
        <f t="shared" si="20"/>
        <v>23030</v>
      </c>
      <c r="AS36" s="32">
        <f t="shared" si="20"/>
        <v>22730</v>
      </c>
      <c r="AT36" s="32">
        <f t="shared" si="20"/>
        <v>22730</v>
      </c>
      <c r="AU36" s="32">
        <f t="shared" si="20"/>
        <v>23530</v>
      </c>
      <c r="AV36" s="32">
        <f t="shared" si="20"/>
        <v>23830</v>
      </c>
      <c r="AW36" s="32">
        <f t="shared" si="20"/>
        <v>23830</v>
      </c>
      <c r="AX36" s="32">
        <f t="shared" si="20"/>
        <v>16430</v>
      </c>
    </row>
    <row r="37" spans="1:50" ht="19.5" customHeight="1" thickBot="1">
      <c r="A37" s="53" t="s">
        <v>227</v>
      </c>
      <c r="B37" s="136" t="s">
        <v>28</v>
      </c>
      <c r="C37" s="54"/>
      <c r="D37" s="148"/>
      <c r="E37" s="635">
        <f>+E16+E36</f>
        <v>15116</v>
      </c>
      <c r="F37" s="401">
        <f>+F16+F36</f>
        <v>37883</v>
      </c>
      <c r="G37" s="624">
        <f>+G16+G36</f>
        <v>0</v>
      </c>
      <c r="H37" s="402"/>
      <c r="I37" s="445"/>
      <c r="J37" s="635">
        <f>+J16+J36</f>
        <v>43092.73</v>
      </c>
      <c r="K37" s="401">
        <f>+K16+K36</f>
        <v>223812.92499999999</v>
      </c>
      <c r="L37" s="624">
        <f>+L16+L36</f>
        <v>277760</v>
      </c>
      <c r="M37" s="402"/>
      <c r="N37" s="445"/>
      <c r="O37" s="508">
        <f t="shared" ref="O37:AX37" si="21">O16+O36</f>
        <v>0</v>
      </c>
      <c r="P37" s="56">
        <f t="shared" si="21"/>
        <v>77.155000000000001</v>
      </c>
      <c r="Q37" s="56">
        <f t="shared" si="21"/>
        <v>1369.9250000000002</v>
      </c>
      <c r="R37" s="56">
        <f t="shared" si="21"/>
        <v>2109.8500000000004</v>
      </c>
      <c r="S37" s="56">
        <f t="shared" si="21"/>
        <v>1839.8500000000001</v>
      </c>
      <c r="T37" s="56">
        <f t="shared" si="21"/>
        <v>11956.849999999999</v>
      </c>
      <c r="U37" s="56">
        <f t="shared" si="21"/>
        <v>6839.85</v>
      </c>
      <c r="V37" s="56">
        <f t="shared" si="21"/>
        <v>1839.8500000000001</v>
      </c>
      <c r="W37" s="56">
        <f t="shared" si="21"/>
        <v>2510.8500000000004</v>
      </c>
      <c r="X37" s="56">
        <f t="shared" si="21"/>
        <v>6182.85</v>
      </c>
      <c r="Y37" s="56">
        <f t="shared" si="21"/>
        <v>4182.8500000000004</v>
      </c>
      <c r="Z37" s="57">
        <f t="shared" si="21"/>
        <v>4182.8500000000004</v>
      </c>
      <c r="AA37" s="57">
        <f t="shared" si="21"/>
        <v>19325.924999999999</v>
      </c>
      <c r="AB37" s="57">
        <f t="shared" si="21"/>
        <v>23366</v>
      </c>
      <c r="AC37" s="57">
        <f t="shared" si="21"/>
        <v>26773</v>
      </c>
      <c r="AD37" s="57">
        <f t="shared" si="21"/>
        <v>38773</v>
      </c>
      <c r="AE37" s="57">
        <f t="shared" si="21"/>
        <v>13773</v>
      </c>
      <c r="AF37" s="57">
        <f t="shared" si="21"/>
        <v>24273</v>
      </c>
      <c r="AG37" s="57">
        <f t="shared" si="21"/>
        <v>1823</v>
      </c>
      <c r="AH37" s="57">
        <f t="shared" si="21"/>
        <v>3823</v>
      </c>
      <c r="AI37" s="57">
        <f t="shared" si="21"/>
        <v>23993</v>
      </c>
      <c r="AJ37" s="57">
        <f t="shared" si="21"/>
        <v>23230</v>
      </c>
      <c r="AK37" s="57">
        <f t="shared" si="21"/>
        <v>11230</v>
      </c>
      <c r="AL37" s="509">
        <f t="shared" si="21"/>
        <v>13430</v>
      </c>
      <c r="AM37" s="474">
        <f t="shared" si="21"/>
        <v>13030</v>
      </c>
      <c r="AN37" s="57">
        <f t="shared" si="21"/>
        <v>23030</v>
      </c>
      <c r="AO37" s="57">
        <f t="shared" si="21"/>
        <v>23030</v>
      </c>
      <c r="AP37" s="57">
        <f t="shared" si="21"/>
        <v>23030</v>
      </c>
      <c r="AQ37" s="57">
        <f t="shared" si="21"/>
        <v>23030</v>
      </c>
      <c r="AR37" s="57">
        <f t="shared" si="21"/>
        <v>23030</v>
      </c>
      <c r="AS37" s="57">
        <f t="shared" si="21"/>
        <v>22730</v>
      </c>
      <c r="AT37" s="57">
        <f t="shared" si="21"/>
        <v>22730</v>
      </c>
      <c r="AU37" s="57">
        <f t="shared" si="21"/>
        <v>23530</v>
      </c>
      <c r="AV37" s="57">
        <f t="shared" si="21"/>
        <v>23830</v>
      </c>
      <c r="AW37" s="57">
        <f t="shared" si="21"/>
        <v>23830</v>
      </c>
      <c r="AX37" s="57">
        <f t="shared" si="21"/>
        <v>16430</v>
      </c>
    </row>
    <row r="38" spans="1:50" ht="12" customHeight="1" thickBot="1">
      <c r="A38" s="3"/>
      <c r="B38" s="1"/>
      <c r="C38" s="1"/>
      <c r="D38" s="389"/>
      <c r="E38" s="403"/>
      <c r="F38" s="403"/>
      <c r="G38" s="387"/>
      <c r="H38" s="647"/>
      <c r="I38" s="453"/>
      <c r="J38" s="670" t="s">
        <v>28</v>
      </c>
      <c r="K38" s="427" t="s">
        <v>28</v>
      </c>
      <c r="L38" s="661" t="s">
        <v>28</v>
      </c>
      <c r="M38" s="459"/>
      <c r="N38" s="443"/>
      <c r="O38" s="510"/>
      <c r="P38" s="424"/>
      <c r="Q38" s="424"/>
      <c r="R38" s="424"/>
      <c r="S38" s="424"/>
      <c r="T38" s="424"/>
      <c r="U38" s="424"/>
      <c r="V38" s="424"/>
      <c r="W38" s="424"/>
      <c r="X38" s="424"/>
      <c r="Y38" s="424"/>
      <c r="Z38" s="424"/>
      <c r="AA38" s="511"/>
      <c r="AB38" s="512"/>
      <c r="AC38" s="389"/>
      <c r="AD38" s="389"/>
      <c r="AE38" s="389"/>
      <c r="AF38" s="389"/>
      <c r="AG38" s="389"/>
      <c r="AH38" s="389"/>
      <c r="AI38" s="389"/>
      <c r="AJ38" s="389"/>
      <c r="AK38" s="389"/>
      <c r="AL38" s="513"/>
      <c r="AM38" s="389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9.5" customHeight="1" thickBot="1">
      <c r="A39" s="5" t="s">
        <v>101</v>
      </c>
      <c r="B39" s="6"/>
      <c r="C39" s="6"/>
      <c r="D39" s="140"/>
      <c r="E39" s="404" t="s">
        <v>28</v>
      </c>
      <c r="F39" s="430"/>
      <c r="G39" s="376"/>
      <c r="H39" s="648"/>
      <c r="I39" s="446"/>
      <c r="J39" s="438">
        <v>2021</v>
      </c>
      <c r="K39" s="438">
        <v>2022</v>
      </c>
      <c r="L39" s="464">
        <v>2023</v>
      </c>
      <c r="M39" s="684"/>
      <c r="N39" s="446"/>
      <c r="O39" s="514">
        <f>O9</f>
        <v>44227</v>
      </c>
      <c r="P39" s="60">
        <f t="shared" ref="P39:AX39" si="22">IF(O39="","",EOMONTH(O39,1))</f>
        <v>44255</v>
      </c>
      <c r="Q39" s="60">
        <f t="shared" si="22"/>
        <v>44286</v>
      </c>
      <c r="R39" s="60">
        <f t="shared" si="22"/>
        <v>44316</v>
      </c>
      <c r="S39" s="60">
        <f t="shared" si="22"/>
        <v>44347</v>
      </c>
      <c r="T39" s="60">
        <f t="shared" si="22"/>
        <v>44377</v>
      </c>
      <c r="U39" s="60">
        <f t="shared" si="22"/>
        <v>44408</v>
      </c>
      <c r="V39" s="60">
        <f t="shared" si="22"/>
        <v>44439</v>
      </c>
      <c r="W39" s="60">
        <f t="shared" si="22"/>
        <v>44469</v>
      </c>
      <c r="X39" s="60">
        <f t="shared" si="22"/>
        <v>44500</v>
      </c>
      <c r="Y39" s="60">
        <f t="shared" si="22"/>
        <v>44530</v>
      </c>
      <c r="Z39" s="61">
        <f t="shared" si="22"/>
        <v>44561</v>
      </c>
      <c r="AA39" s="61">
        <f t="shared" si="22"/>
        <v>44592</v>
      </c>
      <c r="AB39" s="61">
        <f t="shared" si="22"/>
        <v>44620</v>
      </c>
      <c r="AC39" s="61">
        <f t="shared" si="22"/>
        <v>44651</v>
      </c>
      <c r="AD39" s="61">
        <f t="shared" si="22"/>
        <v>44681</v>
      </c>
      <c r="AE39" s="61">
        <f t="shared" si="22"/>
        <v>44712</v>
      </c>
      <c r="AF39" s="61">
        <f t="shared" si="22"/>
        <v>44742</v>
      </c>
      <c r="AG39" s="61">
        <f t="shared" si="22"/>
        <v>44773</v>
      </c>
      <c r="AH39" s="61">
        <f t="shared" si="22"/>
        <v>44804</v>
      </c>
      <c r="AI39" s="61">
        <f t="shared" si="22"/>
        <v>44834</v>
      </c>
      <c r="AJ39" s="61">
        <f t="shared" si="22"/>
        <v>44865</v>
      </c>
      <c r="AK39" s="61">
        <f t="shared" si="22"/>
        <v>44895</v>
      </c>
      <c r="AL39" s="515">
        <f t="shared" si="22"/>
        <v>44926</v>
      </c>
      <c r="AM39" s="475">
        <f t="shared" si="22"/>
        <v>44957</v>
      </c>
      <c r="AN39" s="61">
        <f t="shared" si="22"/>
        <v>44985</v>
      </c>
      <c r="AO39" s="61">
        <f t="shared" si="22"/>
        <v>45016</v>
      </c>
      <c r="AP39" s="61">
        <f t="shared" si="22"/>
        <v>45046</v>
      </c>
      <c r="AQ39" s="61">
        <f t="shared" si="22"/>
        <v>45077</v>
      </c>
      <c r="AR39" s="61">
        <f t="shared" si="22"/>
        <v>45107</v>
      </c>
      <c r="AS39" s="61">
        <f t="shared" si="22"/>
        <v>45138</v>
      </c>
      <c r="AT39" s="61">
        <f t="shared" si="22"/>
        <v>45169</v>
      </c>
      <c r="AU39" s="61">
        <f t="shared" si="22"/>
        <v>45199</v>
      </c>
      <c r="AV39" s="61">
        <f t="shared" si="22"/>
        <v>45230</v>
      </c>
      <c r="AW39" s="61">
        <f t="shared" si="22"/>
        <v>45260</v>
      </c>
      <c r="AX39" s="61">
        <f t="shared" si="22"/>
        <v>45291</v>
      </c>
    </row>
    <row r="40" spans="1:50" ht="19.5" customHeight="1">
      <c r="A40" s="13" t="s">
        <v>30</v>
      </c>
      <c r="B40" s="36"/>
      <c r="C40" s="14"/>
      <c r="D40" s="142"/>
      <c r="E40" s="391"/>
      <c r="F40" s="405"/>
      <c r="G40" s="375"/>
      <c r="H40" s="392"/>
      <c r="I40" s="439"/>
      <c r="J40" s="670">
        <v>0</v>
      </c>
      <c r="K40" s="427">
        <v>0</v>
      </c>
      <c r="L40" s="661">
        <v>0</v>
      </c>
      <c r="M40" s="459"/>
      <c r="N40" s="443"/>
      <c r="O40" s="492"/>
      <c r="P40" s="230" t="s">
        <v>28</v>
      </c>
      <c r="Q40" s="62"/>
      <c r="R40" s="62"/>
      <c r="S40" s="62"/>
      <c r="T40" s="62"/>
      <c r="U40" s="62"/>
      <c r="V40" s="62"/>
      <c r="W40" s="62"/>
      <c r="X40" s="62"/>
      <c r="Y40" s="62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97"/>
      <c r="AM40" s="47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1:50" ht="19.5" customHeight="1">
      <c r="A41" s="290" t="s">
        <v>207</v>
      </c>
      <c r="B41" s="296"/>
      <c r="C41" s="129"/>
      <c r="D41" s="142"/>
      <c r="E41" s="393"/>
      <c r="F41" s="411"/>
      <c r="G41" s="385"/>
      <c r="H41" s="394"/>
      <c r="I41" s="439"/>
      <c r="J41" s="575">
        <v>0</v>
      </c>
      <c r="K41" s="428">
        <v>0</v>
      </c>
      <c r="L41" s="659">
        <v>3000</v>
      </c>
      <c r="M41" s="679"/>
      <c r="N41" s="443"/>
      <c r="O41" s="492"/>
      <c r="P41" s="230"/>
      <c r="Q41" s="62"/>
      <c r="R41" s="62"/>
      <c r="S41" s="62"/>
      <c r="T41" s="62"/>
      <c r="U41" s="62"/>
      <c r="V41" s="62"/>
      <c r="W41" s="62"/>
      <c r="X41" s="62"/>
      <c r="Y41" s="62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93"/>
      <c r="AM41" s="468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</row>
    <row r="42" spans="1:50" ht="19.5" customHeight="1" thickBot="1">
      <c r="A42" s="29" t="s">
        <v>31</v>
      </c>
      <c r="B42" s="63"/>
      <c r="C42" s="63"/>
      <c r="D42" s="149"/>
      <c r="E42" s="393"/>
      <c r="F42" s="411"/>
      <c r="G42" s="385"/>
      <c r="H42" s="394"/>
      <c r="I42" s="439"/>
      <c r="J42" s="575">
        <f t="shared" ref="J42" si="23">SUM(O42:Z42)</f>
        <v>0</v>
      </c>
      <c r="K42" s="428">
        <f t="shared" ref="K42" si="24">SUM(AA42:AL42)</f>
        <v>0</v>
      </c>
      <c r="L42" s="659">
        <v>3000</v>
      </c>
      <c r="M42" s="679"/>
      <c r="N42" s="443"/>
      <c r="O42" s="488"/>
      <c r="P42" s="71"/>
      <c r="Q42" s="131"/>
      <c r="R42" s="131"/>
      <c r="S42" s="131"/>
      <c r="T42" s="131"/>
      <c r="U42" s="131"/>
      <c r="V42" s="131"/>
      <c r="W42" s="131"/>
      <c r="X42" s="131"/>
      <c r="Y42" s="131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491" t="s">
        <v>28</v>
      </c>
      <c r="AM42" s="46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</row>
    <row r="43" spans="1:50" ht="19.5" hidden="1" customHeight="1">
      <c r="A43" s="29" t="s">
        <v>32</v>
      </c>
      <c r="B43" s="63"/>
      <c r="C43" s="63"/>
      <c r="D43" s="151"/>
      <c r="E43" s="391"/>
      <c r="F43" s="405"/>
      <c r="G43" s="375"/>
      <c r="H43" s="392"/>
      <c r="I43" s="439"/>
      <c r="J43" s="670">
        <f t="shared" ref="J43:J76" si="25">SUM(O43:Z43)</f>
        <v>0</v>
      </c>
      <c r="K43" s="427">
        <f t="shared" ref="K43:K76" si="26">SUM(AA43:AL43)</f>
        <v>0</v>
      </c>
      <c r="L43" s="661">
        <f t="shared" ref="L43:L76" si="27">SUM(AM43:AX43)</f>
        <v>0</v>
      </c>
      <c r="M43" s="459"/>
      <c r="N43" s="443"/>
      <c r="O43" s="488"/>
      <c r="P43" s="71"/>
      <c r="Q43" s="131"/>
      <c r="R43" s="131"/>
      <c r="S43" s="131"/>
      <c r="T43" s="131"/>
      <c r="U43" s="131"/>
      <c r="V43" s="131"/>
      <c r="W43" s="131"/>
      <c r="X43" s="131"/>
      <c r="Y43" s="131"/>
      <c r="Z43" s="17"/>
      <c r="AA43" s="511"/>
      <c r="AB43" s="512"/>
      <c r="AC43" s="389"/>
      <c r="AD43" s="389"/>
      <c r="AE43" s="389"/>
      <c r="AF43" s="389"/>
      <c r="AG43" s="389"/>
      <c r="AH43" s="389"/>
      <c r="AI43" s="389"/>
      <c r="AJ43" s="389"/>
      <c r="AK43" s="389"/>
      <c r="AL43" s="513"/>
      <c r="AM43" s="389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9.5" customHeight="1" thickBot="1">
      <c r="A44" s="30" t="s">
        <v>14</v>
      </c>
      <c r="B44" s="135" t="s">
        <v>28</v>
      </c>
      <c r="C44" s="31"/>
      <c r="D44" s="150"/>
      <c r="E44" s="577">
        <f t="shared" ref="E44:G44" si="28">+E40+E42</f>
        <v>0</v>
      </c>
      <c r="F44" s="406">
        <f t="shared" si="28"/>
        <v>0</v>
      </c>
      <c r="G44" s="625">
        <f t="shared" si="28"/>
        <v>0</v>
      </c>
      <c r="H44" s="649"/>
      <c r="I44" s="444"/>
      <c r="J44" s="577">
        <f>SUM(J40:J42)</f>
        <v>0</v>
      </c>
      <c r="K44" s="685">
        <f>SUM(K40:K42)</f>
        <v>0</v>
      </c>
      <c r="L44" s="625">
        <f>SUM(L40:L42)</f>
        <v>6000</v>
      </c>
      <c r="M44" s="649"/>
      <c r="N44" s="444"/>
      <c r="O44" s="494">
        <f t="shared" ref="O44:AX44" si="29">SUM(O40:O43)</f>
        <v>0</v>
      </c>
      <c r="P44" s="33">
        <f t="shared" si="29"/>
        <v>0</v>
      </c>
      <c r="Q44" s="33">
        <f t="shared" si="29"/>
        <v>0</v>
      </c>
      <c r="R44" s="33">
        <f t="shared" si="29"/>
        <v>0</v>
      </c>
      <c r="S44" s="33">
        <f t="shared" si="29"/>
        <v>0</v>
      </c>
      <c r="T44" s="33">
        <f t="shared" si="29"/>
        <v>0</v>
      </c>
      <c r="U44" s="33">
        <f t="shared" si="29"/>
        <v>0</v>
      </c>
      <c r="V44" s="33">
        <f t="shared" si="29"/>
        <v>0</v>
      </c>
      <c r="W44" s="33">
        <f t="shared" si="29"/>
        <v>0</v>
      </c>
      <c r="X44" s="33">
        <f t="shared" si="29"/>
        <v>0</v>
      </c>
      <c r="Y44" s="33">
        <f t="shared" si="29"/>
        <v>0</v>
      </c>
      <c r="Z44" s="34">
        <f t="shared" si="29"/>
        <v>0</v>
      </c>
      <c r="AA44" s="34">
        <f t="shared" si="29"/>
        <v>0</v>
      </c>
      <c r="AB44" s="34">
        <f t="shared" si="29"/>
        <v>0</v>
      </c>
      <c r="AC44" s="34">
        <f t="shared" si="29"/>
        <v>0</v>
      </c>
      <c r="AD44" s="34">
        <f t="shared" si="29"/>
        <v>0</v>
      </c>
      <c r="AE44" s="34">
        <f t="shared" si="29"/>
        <v>0</v>
      </c>
      <c r="AF44" s="34">
        <f t="shared" si="29"/>
        <v>0</v>
      </c>
      <c r="AG44" s="34">
        <f t="shared" si="29"/>
        <v>0</v>
      </c>
      <c r="AH44" s="34">
        <f t="shared" si="29"/>
        <v>0</v>
      </c>
      <c r="AI44" s="34">
        <f t="shared" si="29"/>
        <v>0</v>
      </c>
      <c r="AJ44" s="34">
        <f t="shared" si="29"/>
        <v>0</v>
      </c>
      <c r="AK44" s="34">
        <f t="shared" si="29"/>
        <v>0</v>
      </c>
      <c r="AL44" s="495">
        <f t="shared" si="29"/>
        <v>0</v>
      </c>
      <c r="AM44" s="469">
        <f t="shared" si="29"/>
        <v>0</v>
      </c>
      <c r="AN44" s="34">
        <f t="shared" si="29"/>
        <v>0</v>
      </c>
      <c r="AO44" s="34">
        <f t="shared" si="29"/>
        <v>0</v>
      </c>
      <c r="AP44" s="34">
        <f t="shared" si="29"/>
        <v>0</v>
      </c>
      <c r="AQ44" s="34">
        <f t="shared" si="29"/>
        <v>0</v>
      </c>
      <c r="AR44" s="34">
        <f t="shared" si="29"/>
        <v>0</v>
      </c>
      <c r="AS44" s="34">
        <f t="shared" si="29"/>
        <v>0</v>
      </c>
      <c r="AT44" s="34">
        <f t="shared" si="29"/>
        <v>0</v>
      </c>
      <c r="AU44" s="34">
        <f t="shared" si="29"/>
        <v>0</v>
      </c>
      <c r="AV44" s="34">
        <f t="shared" si="29"/>
        <v>0</v>
      </c>
      <c r="AW44" s="34">
        <f t="shared" si="29"/>
        <v>0</v>
      </c>
      <c r="AX44" s="34">
        <f t="shared" si="29"/>
        <v>0</v>
      </c>
    </row>
    <row r="45" spans="1:50" ht="19.5" customHeight="1">
      <c r="A45" s="29" t="s">
        <v>33</v>
      </c>
      <c r="B45" s="128" t="s">
        <v>28</v>
      </c>
      <c r="C45" s="14"/>
      <c r="D45" s="129"/>
      <c r="E45" s="391"/>
      <c r="F45" s="405"/>
      <c r="G45" s="375"/>
      <c r="H45" s="392"/>
      <c r="I45" s="439"/>
      <c r="J45" s="670" t="s">
        <v>28</v>
      </c>
      <c r="K45" s="427" t="s">
        <v>28</v>
      </c>
      <c r="L45" s="661" t="s">
        <v>28</v>
      </c>
      <c r="M45" s="459"/>
      <c r="N45" s="443"/>
      <c r="O45" s="488"/>
      <c r="P45" s="71"/>
      <c r="Q45" s="131"/>
      <c r="R45" s="131"/>
      <c r="S45" s="131"/>
      <c r="T45" s="131"/>
      <c r="U45" s="131"/>
      <c r="V45" s="131"/>
      <c r="W45" s="131"/>
      <c r="X45" s="131"/>
      <c r="Y45" s="131"/>
      <c r="Z45" s="132"/>
      <c r="AA45" s="489"/>
      <c r="AB45" s="512"/>
      <c r="AC45" s="389"/>
      <c r="AD45" s="389"/>
      <c r="AE45" s="389"/>
      <c r="AF45" s="389"/>
      <c r="AG45" s="389"/>
      <c r="AH45" s="389"/>
      <c r="AI45" s="389"/>
      <c r="AJ45" s="389"/>
      <c r="AK45" s="389"/>
      <c r="AL45" s="513"/>
      <c r="AM45" s="389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30" customHeight="1">
      <c r="A46" s="66" t="s">
        <v>34</v>
      </c>
      <c r="B46" s="67" t="str">
        <f>B22</f>
        <v xml:space="preserve"> Ateliers collectifs bénéficiaires </v>
      </c>
      <c r="C46" s="68"/>
      <c r="D46" s="153"/>
      <c r="E46" s="391"/>
      <c r="F46" s="405"/>
      <c r="G46" s="375"/>
      <c r="H46" s="392"/>
      <c r="I46" s="439"/>
      <c r="J46" s="670">
        <f t="shared" si="25"/>
        <v>0</v>
      </c>
      <c r="K46" s="427">
        <f>+K22*0.5667</f>
        <v>6800.4</v>
      </c>
      <c r="L46" s="661">
        <v>8500</v>
      </c>
      <c r="M46" s="459"/>
      <c r="N46" s="443"/>
      <c r="O46" s="516"/>
      <c r="P46" s="70"/>
      <c r="Q46" s="70">
        <f t="shared" ref="Q46:Z46" si="30">+P$22*0.8</f>
        <v>0</v>
      </c>
      <c r="R46" s="70">
        <f t="shared" si="30"/>
        <v>0</v>
      </c>
      <c r="S46" s="70">
        <f t="shared" si="30"/>
        <v>0</v>
      </c>
      <c r="T46" s="70">
        <f t="shared" si="30"/>
        <v>0</v>
      </c>
      <c r="U46" s="70">
        <f t="shared" si="30"/>
        <v>0</v>
      </c>
      <c r="V46" s="70">
        <f t="shared" si="30"/>
        <v>0</v>
      </c>
      <c r="W46" s="70">
        <f t="shared" si="30"/>
        <v>0</v>
      </c>
      <c r="X46" s="70">
        <f t="shared" si="30"/>
        <v>0</v>
      </c>
      <c r="Y46" s="70">
        <f t="shared" si="30"/>
        <v>0</v>
      </c>
      <c r="Z46" s="70">
        <f t="shared" si="30"/>
        <v>0</v>
      </c>
      <c r="AA46" s="70">
        <f>Z22*0.56666</f>
        <v>0</v>
      </c>
      <c r="AB46" s="70">
        <f>AA22*0.56</f>
        <v>0</v>
      </c>
      <c r="AC46" s="70">
        <f t="shared" ref="AC46:AK46" si="31">AB22*0.56666</f>
        <v>1133.3200000000002</v>
      </c>
      <c r="AD46" s="70">
        <f t="shared" si="31"/>
        <v>0</v>
      </c>
      <c r="AE46" s="70">
        <f t="shared" si="31"/>
        <v>1133.3200000000002</v>
      </c>
      <c r="AF46" s="70">
        <f t="shared" si="31"/>
        <v>1133.3200000000002</v>
      </c>
      <c r="AG46" s="70">
        <f t="shared" si="31"/>
        <v>0</v>
      </c>
      <c r="AH46" s="70">
        <f t="shared" si="31"/>
        <v>0</v>
      </c>
      <c r="AI46" s="70">
        <f t="shared" si="31"/>
        <v>1133.3200000000002</v>
      </c>
      <c r="AJ46" s="70">
        <f t="shared" si="31"/>
        <v>0</v>
      </c>
      <c r="AK46" s="70">
        <f t="shared" si="31"/>
        <v>1133.3200000000002</v>
      </c>
      <c r="AL46" s="70">
        <f>AL22*0.56666</f>
        <v>1133.3200000000002</v>
      </c>
      <c r="AM46" s="476">
        <f t="shared" ref="AM46:AX46" si="32">AL22*0.2382</f>
        <v>476.4</v>
      </c>
      <c r="AN46" s="70">
        <f t="shared" si="32"/>
        <v>1786.5</v>
      </c>
      <c r="AO46" s="70">
        <f t="shared" si="32"/>
        <v>1786.5</v>
      </c>
      <c r="AP46" s="70">
        <f t="shared" si="32"/>
        <v>1786.5</v>
      </c>
      <c r="AQ46" s="70">
        <f t="shared" si="32"/>
        <v>1786.5</v>
      </c>
      <c r="AR46" s="70">
        <f t="shared" si="32"/>
        <v>1786.5</v>
      </c>
      <c r="AS46" s="70">
        <f t="shared" si="32"/>
        <v>1786.5</v>
      </c>
      <c r="AT46" s="70">
        <f t="shared" si="32"/>
        <v>1786.5</v>
      </c>
      <c r="AU46" s="70">
        <f t="shared" si="32"/>
        <v>1786.5</v>
      </c>
      <c r="AV46" s="70">
        <f t="shared" si="32"/>
        <v>1786.5</v>
      </c>
      <c r="AW46" s="70">
        <f t="shared" si="32"/>
        <v>1786.5</v>
      </c>
      <c r="AX46" s="70">
        <f t="shared" si="32"/>
        <v>1786.5</v>
      </c>
    </row>
    <row r="47" spans="1:50" ht="39" customHeight="1">
      <c r="A47" s="202" t="s">
        <v>35</v>
      </c>
      <c r="B47" s="847" t="s">
        <v>85</v>
      </c>
      <c r="C47" s="848"/>
      <c r="D47" s="849"/>
      <c r="E47" s="636"/>
      <c r="F47" s="650"/>
      <c r="G47" s="626"/>
      <c r="H47" s="407"/>
      <c r="I47" s="440"/>
      <c r="J47" s="670">
        <f t="shared" si="25"/>
        <v>0</v>
      </c>
      <c r="K47" s="427">
        <v>7000</v>
      </c>
      <c r="L47" s="661">
        <v>14000</v>
      </c>
      <c r="M47" s="459"/>
      <c r="N47" s="443"/>
      <c r="O47" s="488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  <c r="Y47" s="71">
        <v>0</v>
      </c>
      <c r="Z47" s="71">
        <v>0</v>
      </c>
      <c r="AA47" s="71">
        <f t="shared" ref="AA47:AL47" si="33">(AA23+AA24)*0.28</f>
        <v>1680.0000000000002</v>
      </c>
      <c r="AB47" s="71">
        <f t="shared" si="33"/>
        <v>1680.0000000000002</v>
      </c>
      <c r="AC47" s="71">
        <f t="shared" si="33"/>
        <v>1680.0000000000002</v>
      </c>
      <c r="AD47" s="71">
        <f t="shared" si="33"/>
        <v>1680.0000000000002</v>
      </c>
      <c r="AE47" s="71">
        <f t="shared" si="33"/>
        <v>1680.0000000000002</v>
      </c>
      <c r="AF47" s="71">
        <f t="shared" si="33"/>
        <v>2380</v>
      </c>
      <c r="AG47" s="71">
        <f t="shared" si="33"/>
        <v>0</v>
      </c>
      <c r="AH47" s="71">
        <f t="shared" si="33"/>
        <v>0</v>
      </c>
      <c r="AI47" s="71">
        <f t="shared" si="33"/>
        <v>2380</v>
      </c>
      <c r="AJ47" s="71">
        <f t="shared" si="33"/>
        <v>1680.0000000000002</v>
      </c>
      <c r="AK47" s="71">
        <f t="shared" si="33"/>
        <v>1680.0000000000002</v>
      </c>
      <c r="AL47" s="491">
        <f t="shared" si="33"/>
        <v>1680.0000000000002</v>
      </c>
      <c r="AM47" s="477">
        <v>700</v>
      </c>
      <c r="AN47" s="71">
        <v>700</v>
      </c>
      <c r="AO47" s="71">
        <v>700</v>
      </c>
      <c r="AP47" s="71">
        <v>700</v>
      </c>
      <c r="AQ47" s="71">
        <v>700</v>
      </c>
      <c r="AR47" s="71">
        <v>700</v>
      </c>
      <c r="AS47" s="71">
        <v>700</v>
      </c>
      <c r="AT47" s="71">
        <v>700</v>
      </c>
      <c r="AU47" s="71">
        <v>700</v>
      </c>
      <c r="AV47" s="71">
        <v>700</v>
      </c>
      <c r="AW47" s="71">
        <v>700</v>
      </c>
      <c r="AX47" s="71">
        <v>700</v>
      </c>
    </row>
    <row r="48" spans="1:50" ht="39" customHeight="1">
      <c r="A48" s="202" t="s">
        <v>36</v>
      </c>
      <c r="B48" s="850" t="str">
        <f>B25</f>
        <v xml:space="preserve">Cures Remise en Santé </v>
      </c>
      <c r="C48" s="848"/>
      <c r="D48" s="849"/>
      <c r="E48" s="636"/>
      <c r="F48" s="650"/>
      <c r="G48" s="626"/>
      <c r="H48" s="407"/>
      <c r="I48" s="440"/>
      <c r="J48" s="670">
        <f t="shared" si="25"/>
        <v>4000</v>
      </c>
      <c r="K48" s="427">
        <f>SUM(AA48:AL48)</f>
        <v>29165.5</v>
      </c>
      <c r="L48" s="663">
        <f>+L25*0.8333</f>
        <v>33332</v>
      </c>
      <c r="M48" s="686"/>
      <c r="N48" s="447"/>
      <c r="O48" s="488"/>
      <c r="P48" s="71"/>
      <c r="Q48" s="131"/>
      <c r="R48" s="131"/>
      <c r="S48" s="131"/>
      <c r="T48" s="131"/>
      <c r="U48" s="131"/>
      <c r="V48" s="131"/>
      <c r="W48" s="131">
        <f>W25*83.33/100</f>
        <v>0</v>
      </c>
      <c r="X48" s="131">
        <f>X25*80/100</f>
        <v>2400</v>
      </c>
      <c r="Y48" s="131">
        <f>Y25*80/100</f>
        <v>800</v>
      </c>
      <c r="Z48" s="131">
        <f>Z25*80/100</f>
        <v>800</v>
      </c>
      <c r="AA48" s="131">
        <f t="shared" ref="AA48:AX48" si="34">AA25*83.33/100</f>
        <v>2083.25</v>
      </c>
      <c r="AB48" s="131">
        <f t="shared" si="34"/>
        <v>2083.25</v>
      </c>
      <c r="AC48" s="131">
        <f t="shared" si="34"/>
        <v>3124.875</v>
      </c>
      <c r="AD48" s="131">
        <f t="shared" si="34"/>
        <v>3124.875</v>
      </c>
      <c r="AE48" s="131">
        <f t="shared" si="34"/>
        <v>3124.875</v>
      </c>
      <c r="AF48" s="131">
        <f t="shared" si="34"/>
        <v>3124.875</v>
      </c>
      <c r="AG48" s="131">
        <f t="shared" si="34"/>
        <v>0</v>
      </c>
      <c r="AH48" s="131">
        <f t="shared" si="34"/>
        <v>0</v>
      </c>
      <c r="AI48" s="131">
        <f t="shared" si="34"/>
        <v>3124.875</v>
      </c>
      <c r="AJ48" s="131">
        <f t="shared" si="34"/>
        <v>3124.875</v>
      </c>
      <c r="AK48" s="131">
        <f t="shared" si="34"/>
        <v>3124.875</v>
      </c>
      <c r="AL48" s="491">
        <f t="shared" si="34"/>
        <v>3124.875</v>
      </c>
      <c r="AM48" s="130">
        <f t="shared" si="34"/>
        <v>0</v>
      </c>
      <c r="AN48" s="126">
        <f t="shared" si="34"/>
        <v>8333</v>
      </c>
      <c r="AO48" s="126">
        <f t="shared" si="34"/>
        <v>8333</v>
      </c>
      <c r="AP48" s="126">
        <f t="shared" si="34"/>
        <v>8333</v>
      </c>
      <c r="AQ48" s="126">
        <f t="shared" si="34"/>
        <v>8333</v>
      </c>
      <c r="AR48" s="126">
        <f t="shared" si="34"/>
        <v>8333</v>
      </c>
      <c r="AS48" s="126">
        <f t="shared" si="34"/>
        <v>8333</v>
      </c>
      <c r="AT48" s="126">
        <f t="shared" si="34"/>
        <v>8333</v>
      </c>
      <c r="AU48" s="126">
        <f t="shared" si="34"/>
        <v>8333</v>
      </c>
      <c r="AV48" s="126">
        <f t="shared" si="34"/>
        <v>8333</v>
      </c>
      <c r="AW48" s="126">
        <f t="shared" si="34"/>
        <v>8333</v>
      </c>
      <c r="AX48" s="126">
        <f t="shared" si="34"/>
        <v>8333</v>
      </c>
    </row>
    <row r="49" spans="1:50" ht="46.9" customHeight="1">
      <c r="A49" s="203" t="s">
        <v>37</v>
      </c>
      <c r="B49" s="847" t="s">
        <v>86</v>
      </c>
      <c r="C49" s="848"/>
      <c r="D49" s="849"/>
      <c r="E49" s="637">
        <v>4000</v>
      </c>
      <c r="F49" s="408">
        <v>28000</v>
      </c>
      <c r="G49" s="627">
        <v>2400</v>
      </c>
      <c r="H49" s="409"/>
      <c r="I49" s="454"/>
      <c r="J49" s="575">
        <f>SUM(O49:Z49)</f>
        <v>4000</v>
      </c>
      <c r="K49" s="428">
        <f>SUM(AA49:AL49)</f>
        <v>28000</v>
      </c>
      <c r="L49" s="659">
        <v>2400</v>
      </c>
      <c r="M49" s="679"/>
      <c r="N49" s="443"/>
      <c r="O49" s="488"/>
      <c r="P49" s="71"/>
      <c r="Q49" s="131"/>
      <c r="R49" s="131"/>
      <c r="S49" s="131"/>
      <c r="T49" s="131"/>
      <c r="U49" s="131"/>
      <c r="V49" s="131"/>
      <c r="W49" s="131"/>
      <c r="X49" s="131"/>
      <c r="Y49" s="131"/>
      <c r="Z49" s="131">
        <v>4000</v>
      </c>
      <c r="AA49" s="131">
        <v>2000</v>
      </c>
      <c r="AB49" s="617">
        <f>2000+4000</f>
        <v>6000</v>
      </c>
      <c r="AC49" s="131">
        <v>2000</v>
      </c>
      <c r="AD49" s="131">
        <v>2000</v>
      </c>
      <c r="AE49" s="131">
        <v>2000</v>
      </c>
      <c r="AF49" s="131">
        <v>2000</v>
      </c>
      <c r="AG49" s="131">
        <v>2000</v>
      </c>
      <c r="AH49" s="131">
        <v>2000</v>
      </c>
      <c r="AI49" s="131">
        <v>2000</v>
      </c>
      <c r="AJ49" s="131">
        <v>2000</v>
      </c>
      <c r="AK49" s="131">
        <v>2000</v>
      </c>
      <c r="AL49" s="491">
        <v>2000</v>
      </c>
      <c r="AM49" s="130">
        <v>2000</v>
      </c>
      <c r="AN49" s="126">
        <v>2000</v>
      </c>
      <c r="AO49" s="126">
        <v>2000</v>
      </c>
      <c r="AP49" s="126">
        <v>2000</v>
      </c>
      <c r="AQ49" s="126">
        <v>2000</v>
      </c>
      <c r="AR49" s="126">
        <v>2000</v>
      </c>
      <c r="AS49" s="126">
        <v>2000</v>
      </c>
      <c r="AT49" s="126">
        <v>2000</v>
      </c>
      <c r="AU49" s="126">
        <v>2000</v>
      </c>
      <c r="AV49" s="126">
        <v>2000</v>
      </c>
      <c r="AW49" s="126">
        <v>2000</v>
      </c>
      <c r="AX49" s="126">
        <v>2000</v>
      </c>
    </row>
    <row r="50" spans="1:50" ht="28.5" customHeight="1">
      <c r="A50" s="204" t="s">
        <v>73</v>
      </c>
      <c r="B50" s="841" t="s">
        <v>112</v>
      </c>
      <c r="C50" s="841"/>
      <c r="D50" s="841"/>
      <c r="E50" s="638">
        <v>0</v>
      </c>
      <c r="F50" s="408">
        <v>45000</v>
      </c>
      <c r="G50" s="628">
        <v>0</v>
      </c>
      <c r="H50" s="410"/>
      <c r="I50" s="455"/>
      <c r="J50" s="575">
        <f>SUM(O50:Z50)</f>
        <v>0</v>
      </c>
      <c r="K50" s="428">
        <f>SUM(AA50:AL50)</f>
        <v>45000</v>
      </c>
      <c r="L50" s="659">
        <f t="shared" si="27"/>
        <v>0</v>
      </c>
      <c r="M50" s="679"/>
      <c r="N50" s="443"/>
      <c r="O50" s="488"/>
      <c r="P50" s="71"/>
      <c r="Q50" s="131"/>
      <c r="R50" s="131"/>
      <c r="S50" s="131"/>
      <c r="T50" s="131"/>
      <c r="U50" s="131"/>
      <c r="V50" s="131"/>
      <c r="W50" s="131"/>
      <c r="X50" s="131"/>
      <c r="Y50" s="131"/>
      <c r="Z50" s="132"/>
      <c r="AA50" s="132">
        <v>0</v>
      </c>
      <c r="AB50" s="132"/>
      <c r="AC50" s="132">
        <v>15000</v>
      </c>
      <c r="AD50" s="132"/>
      <c r="AE50" s="132"/>
      <c r="AF50" s="132">
        <v>15000</v>
      </c>
      <c r="AG50" s="132"/>
      <c r="AH50" s="132"/>
      <c r="AI50" s="132">
        <v>15000</v>
      </c>
      <c r="AJ50" s="132"/>
      <c r="AK50" s="132"/>
      <c r="AL50" s="517"/>
      <c r="AM50" s="478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</row>
    <row r="51" spans="1:50" ht="19.5" customHeight="1">
      <c r="A51" s="205" t="s">
        <v>87</v>
      </c>
      <c r="B51" s="189" t="s">
        <v>111</v>
      </c>
      <c r="C51" s="190"/>
      <c r="D51" s="206"/>
      <c r="E51" s="393">
        <v>46445</v>
      </c>
      <c r="F51" s="651">
        <v>51501</v>
      </c>
      <c r="G51" s="385">
        <v>0</v>
      </c>
      <c r="H51" s="394"/>
      <c r="I51" s="439"/>
      <c r="J51" s="575">
        <f>SUM(O51:Z51)</f>
        <v>46444.79</v>
      </c>
      <c r="K51" s="687">
        <f>SUM(AA51:AL51)</f>
        <v>51501</v>
      </c>
      <c r="L51" s="659">
        <f t="shared" si="27"/>
        <v>0</v>
      </c>
      <c r="M51" s="679"/>
      <c r="N51" s="443"/>
      <c r="O51" s="518"/>
      <c r="P51" s="73"/>
      <c r="Q51" s="74"/>
      <c r="R51" s="74"/>
      <c r="S51" s="74"/>
      <c r="T51" s="168" t="s">
        <v>28</v>
      </c>
      <c r="U51" s="74">
        <v>11500</v>
      </c>
      <c r="V51" s="74" t="s">
        <v>28</v>
      </c>
      <c r="W51" s="74"/>
      <c r="X51" s="74"/>
      <c r="Y51" s="74"/>
      <c r="Z51" s="74">
        <v>34944.79</v>
      </c>
      <c r="AA51" s="75"/>
      <c r="AB51" s="75"/>
      <c r="AC51" s="618">
        <v>34945</v>
      </c>
      <c r="AD51" s="75">
        <v>16556</v>
      </c>
      <c r="AE51" s="75"/>
      <c r="AF51" s="75"/>
      <c r="AG51" s="75"/>
      <c r="AH51" s="75"/>
      <c r="AI51" s="75"/>
      <c r="AJ51" s="75"/>
      <c r="AK51" s="75"/>
      <c r="AL51" s="519"/>
      <c r="AM51" s="479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</row>
    <row r="52" spans="1:50" ht="19.5" customHeight="1">
      <c r="A52" s="207" t="s">
        <v>38</v>
      </c>
      <c r="B52" s="184" t="s">
        <v>105</v>
      </c>
      <c r="C52" s="185"/>
      <c r="D52" s="208"/>
      <c r="E52" s="391"/>
      <c r="F52" s="646"/>
      <c r="G52" s="375"/>
      <c r="H52" s="392"/>
      <c r="I52" s="439"/>
      <c r="J52" s="670">
        <f t="shared" ref="J52:J65" si="35">SUM(O52:Z52)</f>
        <v>4700</v>
      </c>
      <c r="K52" s="427">
        <f t="shared" ref="K52:K65" si="36">SUM(AA52:AL52)</f>
        <v>16935</v>
      </c>
      <c r="L52" s="661">
        <v>18500</v>
      </c>
      <c r="M52" s="459"/>
      <c r="N52" s="443"/>
      <c r="O52" s="520"/>
      <c r="P52" s="77"/>
      <c r="Q52" s="77"/>
      <c r="R52" s="77">
        <v>0</v>
      </c>
      <c r="S52" s="77">
        <v>0</v>
      </c>
      <c r="T52" s="77">
        <v>0</v>
      </c>
      <c r="U52" s="77">
        <v>0</v>
      </c>
      <c r="V52" s="77">
        <v>0</v>
      </c>
      <c r="W52" s="77">
        <f>W35</f>
        <v>671</v>
      </c>
      <c r="X52" s="77">
        <f t="shared" ref="X52:Z52" si="37">X35</f>
        <v>1343</v>
      </c>
      <c r="Y52" s="77">
        <f t="shared" si="37"/>
        <v>1343</v>
      </c>
      <c r="Z52" s="77">
        <f t="shared" si="37"/>
        <v>1343</v>
      </c>
      <c r="AA52" s="78">
        <f>AA35</f>
        <v>1343</v>
      </c>
      <c r="AB52" s="78">
        <f t="shared" ref="AB52:AH52" si="38">AB35</f>
        <v>1343</v>
      </c>
      <c r="AC52" s="78">
        <f t="shared" si="38"/>
        <v>1343</v>
      </c>
      <c r="AD52" s="78">
        <f t="shared" si="38"/>
        <v>1343</v>
      </c>
      <c r="AE52" s="78">
        <f t="shared" si="38"/>
        <v>1343</v>
      </c>
      <c r="AF52" s="78">
        <f t="shared" si="38"/>
        <v>1343</v>
      </c>
      <c r="AG52" s="78">
        <f t="shared" si="38"/>
        <v>1343</v>
      </c>
      <c r="AH52" s="78">
        <f t="shared" si="38"/>
        <v>1343</v>
      </c>
      <c r="AI52" s="78">
        <v>1451</v>
      </c>
      <c r="AJ52" s="78">
        <v>1580</v>
      </c>
      <c r="AK52" s="78">
        <v>1580</v>
      </c>
      <c r="AL52" s="521">
        <v>1580</v>
      </c>
      <c r="AM52" s="480">
        <v>600</v>
      </c>
      <c r="AN52" s="78">
        <v>600</v>
      </c>
      <c r="AO52" s="78">
        <v>600</v>
      </c>
      <c r="AP52" s="78">
        <v>600</v>
      </c>
      <c r="AQ52" s="78">
        <v>600</v>
      </c>
      <c r="AR52" s="78">
        <v>600</v>
      </c>
      <c r="AS52" s="78">
        <v>600</v>
      </c>
      <c r="AT52" s="78">
        <v>600</v>
      </c>
      <c r="AU52" s="78">
        <v>600</v>
      </c>
      <c r="AV52" s="78">
        <v>600</v>
      </c>
      <c r="AW52" s="78">
        <v>600</v>
      </c>
      <c r="AX52" s="78">
        <v>600</v>
      </c>
    </row>
    <row r="53" spans="1:50" ht="19.5" customHeight="1">
      <c r="A53" s="209" t="s">
        <v>87</v>
      </c>
      <c r="B53" s="210" t="s">
        <v>40</v>
      </c>
      <c r="C53" s="211"/>
      <c r="D53" s="212"/>
      <c r="E53" s="391"/>
      <c r="F53" s="646"/>
      <c r="G53" s="375"/>
      <c r="H53" s="392"/>
      <c r="I53" s="439"/>
      <c r="J53" s="670">
        <f t="shared" si="35"/>
        <v>1000</v>
      </c>
      <c r="K53" s="427">
        <f t="shared" si="36"/>
        <v>3000</v>
      </c>
      <c r="L53" s="661">
        <f t="shared" si="27"/>
        <v>3000</v>
      </c>
      <c r="M53" s="459"/>
      <c r="N53" s="443"/>
      <c r="O53" s="522">
        <v>0</v>
      </c>
      <c r="P53" s="80">
        <v>0</v>
      </c>
      <c r="Q53" s="81">
        <v>0</v>
      </c>
      <c r="R53" s="81">
        <v>0</v>
      </c>
      <c r="S53" s="81">
        <v>0</v>
      </c>
      <c r="T53" s="81">
        <v>0</v>
      </c>
      <c r="U53" s="81">
        <v>0</v>
      </c>
      <c r="V53" s="81">
        <v>0</v>
      </c>
      <c r="W53" s="81">
        <v>250</v>
      </c>
      <c r="X53" s="81">
        <v>250</v>
      </c>
      <c r="Y53" s="81">
        <v>250</v>
      </c>
      <c r="Z53" s="82">
        <v>250</v>
      </c>
      <c r="AA53" s="82">
        <v>250</v>
      </c>
      <c r="AB53" s="82">
        <v>250</v>
      </c>
      <c r="AC53" s="82">
        <v>250</v>
      </c>
      <c r="AD53" s="82">
        <v>250</v>
      </c>
      <c r="AE53" s="82">
        <v>250</v>
      </c>
      <c r="AF53" s="82">
        <v>250</v>
      </c>
      <c r="AG53" s="82">
        <v>250</v>
      </c>
      <c r="AH53" s="82">
        <v>250</v>
      </c>
      <c r="AI53" s="82">
        <v>250</v>
      </c>
      <c r="AJ53" s="82">
        <v>250</v>
      </c>
      <c r="AK53" s="82">
        <v>250</v>
      </c>
      <c r="AL53" s="523">
        <v>250</v>
      </c>
      <c r="AM53" s="481">
        <v>250</v>
      </c>
      <c r="AN53" s="82">
        <v>250</v>
      </c>
      <c r="AO53" s="82">
        <v>250</v>
      </c>
      <c r="AP53" s="82">
        <v>250</v>
      </c>
      <c r="AQ53" s="82">
        <v>250</v>
      </c>
      <c r="AR53" s="82">
        <v>250</v>
      </c>
      <c r="AS53" s="82">
        <v>250</v>
      </c>
      <c r="AT53" s="82">
        <v>250</v>
      </c>
      <c r="AU53" s="82">
        <v>250</v>
      </c>
      <c r="AV53" s="82">
        <v>250</v>
      </c>
      <c r="AW53" s="82">
        <v>250</v>
      </c>
      <c r="AX53" s="82">
        <v>250</v>
      </c>
    </row>
    <row r="54" spans="1:50" ht="19.5" hidden="1" customHeight="1">
      <c r="A54" s="29" t="s">
        <v>39</v>
      </c>
      <c r="B54" s="210" t="s">
        <v>40</v>
      </c>
      <c r="C54" s="14"/>
      <c r="D54" s="129"/>
      <c r="E54" s="391"/>
      <c r="F54" s="646"/>
      <c r="G54" s="375"/>
      <c r="H54" s="392"/>
      <c r="I54" s="439"/>
      <c r="J54" s="670">
        <f t="shared" si="35"/>
        <v>0</v>
      </c>
      <c r="K54" s="427">
        <f t="shared" si="36"/>
        <v>0</v>
      </c>
      <c r="L54" s="661">
        <f t="shared" si="27"/>
        <v>0</v>
      </c>
      <c r="M54" s="459"/>
      <c r="N54" s="443"/>
      <c r="O54" s="488"/>
      <c r="P54" s="71"/>
      <c r="Q54" s="131"/>
      <c r="R54" s="131"/>
      <c r="S54" s="131"/>
      <c r="T54" s="131"/>
      <c r="U54" s="131"/>
      <c r="V54" s="131"/>
      <c r="W54" s="131"/>
      <c r="X54" s="131"/>
      <c r="Y54" s="131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517"/>
      <c r="AM54" s="478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</row>
    <row r="55" spans="1:50" ht="19.5" hidden="1" customHeight="1">
      <c r="A55" s="29" t="s">
        <v>41</v>
      </c>
      <c r="B55" s="210" t="s">
        <v>40</v>
      </c>
      <c r="C55" s="14"/>
      <c r="D55" s="129"/>
      <c r="E55" s="391"/>
      <c r="F55" s="646"/>
      <c r="G55" s="375"/>
      <c r="H55" s="392"/>
      <c r="I55" s="439"/>
      <c r="J55" s="670">
        <f t="shared" si="35"/>
        <v>0</v>
      </c>
      <c r="K55" s="427">
        <f t="shared" si="36"/>
        <v>0</v>
      </c>
      <c r="L55" s="661">
        <f t="shared" si="27"/>
        <v>0</v>
      </c>
      <c r="M55" s="459"/>
      <c r="N55" s="443"/>
      <c r="O55" s="488"/>
      <c r="P55" s="71"/>
      <c r="Q55" s="131"/>
      <c r="R55" s="131"/>
      <c r="S55" s="131"/>
      <c r="T55" s="131"/>
      <c r="U55" s="131"/>
      <c r="V55" s="131"/>
      <c r="W55" s="131"/>
      <c r="X55" s="131"/>
      <c r="Y55" s="131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517"/>
      <c r="AM55" s="478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</row>
    <row r="56" spans="1:50" ht="19.5" hidden="1" customHeight="1">
      <c r="A56" s="29" t="s">
        <v>42</v>
      </c>
      <c r="B56" s="210" t="s">
        <v>40</v>
      </c>
      <c r="C56" s="14"/>
      <c r="D56" s="129"/>
      <c r="E56" s="391"/>
      <c r="F56" s="646"/>
      <c r="G56" s="375"/>
      <c r="H56" s="392"/>
      <c r="I56" s="439"/>
      <c r="J56" s="670">
        <f t="shared" si="35"/>
        <v>0</v>
      </c>
      <c r="K56" s="427">
        <f t="shared" si="36"/>
        <v>0</v>
      </c>
      <c r="L56" s="661">
        <f t="shared" si="27"/>
        <v>0</v>
      </c>
      <c r="M56" s="459"/>
      <c r="N56" s="443"/>
      <c r="O56" s="488"/>
      <c r="P56" s="71"/>
      <c r="Q56" s="131"/>
      <c r="R56" s="131"/>
      <c r="S56" s="131"/>
      <c r="T56" s="131"/>
      <c r="U56" s="131"/>
      <c r="V56" s="131"/>
      <c r="W56" s="131"/>
      <c r="X56" s="131"/>
      <c r="Y56" s="131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517"/>
      <c r="AM56" s="478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</row>
    <row r="57" spans="1:50" ht="19.5" hidden="1" customHeight="1">
      <c r="A57" s="29" t="s">
        <v>43</v>
      </c>
      <c r="B57" s="210" t="s">
        <v>40</v>
      </c>
      <c r="C57" s="14"/>
      <c r="D57" s="129"/>
      <c r="E57" s="391"/>
      <c r="F57" s="646"/>
      <c r="G57" s="375"/>
      <c r="H57" s="392"/>
      <c r="I57" s="439"/>
      <c r="J57" s="670">
        <f t="shared" si="35"/>
        <v>0</v>
      </c>
      <c r="K57" s="427">
        <f t="shared" si="36"/>
        <v>0</v>
      </c>
      <c r="L57" s="661">
        <f t="shared" si="27"/>
        <v>0</v>
      </c>
      <c r="M57" s="459"/>
      <c r="N57" s="443"/>
      <c r="O57" s="488"/>
      <c r="P57" s="71"/>
      <c r="Q57" s="131"/>
      <c r="R57" s="131"/>
      <c r="S57" s="131"/>
      <c r="T57" s="131"/>
      <c r="U57" s="131"/>
      <c r="V57" s="131"/>
      <c r="W57" s="131"/>
      <c r="X57" s="131"/>
      <c r="Y57" s="131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517"/>
      <c r="AM57" s="478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</row>
    <row r="58" spans="1:50" ht="19.5" hidden="1" customHeight="1">
      <c r="A58" s="29" t="s">
        <v>44</v>
      </c>
      <c r="B58" s="210" t="s">
        <v>40</v>
      </c>
      <c r="C58" s="14"/>
      <c r="D58" s="129"/>
      <c r="E58" s="391"/>
      <c r="F58" s="646"/>
      <c r="G58" s="375"/>
      <c r="H58" s="392"/>
      <c r="I58" s="439"/>
      <c r="J58" s="670">
        <f t="shared" si="35"/>
        <v>0</v>
      </c>
      <c r="K58" s="427">
        <f t="shared" si="36"/>
        <v>0</v>
      </c>
      <c r="L58" s="661">
        <f t="shared" si="27"/>
        <v>0</v>
      </c>
      <c r="M58" s="459"/>
      <c r="N58" s="443"/>
      <c r="O58" s="488"/>
      <c r="P58" s="71"/>
      <c r="Q58" s="131"/>
      <c r="R58" s="131"/>
      <c r="S58" s="131"/>
      <c r="T58" s="131"/>
      <c r="U58" s="131"/>
      <c r="V58" s="131"/>
      <c r="W58" s="131"/>
      <c r="X58" s="131"/>
      <c r="Y58" s="131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517"/>
      <c r="AM58" s="478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</row>
    <row r="59" spans="1:50" ht="19.5" hidden="1" customHeight="1">
      <c r="A59" s="29" t="s">
        <v>45</v>
      </c>
      <c r="B59" s="210" t="s">
        <v>40</v>
      </c>
      <c r="C59" s="14"/>
      <c r="D59" s="129"/>
      <c r="E59" s="391"/>
      <c r="F59" s="646"/>
      <c r="G59" s="375"/>
      <c r="H59" s="392"/>
      <c r="I59" s="439"/>
      <c r="J59" s="670">
        <f t="shared" si="35"/>
        <v>0</v>
      </c>
      <c r="K59" s="427">
        <f t="shared" si="36"/>
        <v>0</v>
      </c>
      <c r="L59" s="661">
        <f t="shared" si="27"/>
        <v>0</v>
      </c>
      <c r="M59" s="459"/>
      <c r="N59" s="443"/>
      <c r="O59" s="488"/>
      <c r="P59" s="71"/>
      <c r="Q59" s="131"/>
      <c r="R59" s="131"/>
      <c r="S59" s="131"/>
      <c r="T59" s="131"/>
      <c r="U59" s="131"/>
      <c r="V59" s="131"/>
      <c r="W59" s="131"/>
      <c r="X59" s="131"/>
      <c r="Y59" s="131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517"/>
      <c r="AM59" s="478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</row>
    <row r="60" spans="1:50" ht="19.5" hidden="1" customHeight="1">
      <c r="A60" s="29" t="s">
        <v>46</v>
      </c>
      <c r="B60" s="210" t="s">
        <v>40</v>
      </c>
      <c r="C60" s="14"/>
      <c r="D60" s="129"/>
      <c r="E60" s="391"/>
      <c r="F60" s="646"/>
      <c r="G60" s="375"/>
      <c r="H60" s="392"/>
      <c r="I60" s="439"/>
      <c r="J60" s="670">
        <f t="shared" si="35"/>
        <v>0</v>
      </c>
      <c r="K60" s="427">
        <f t="shared" si="36"/>
        <v>0</v>
      </c>
      <c r="L60" s="661">
        <f t="shared" si="27"/>
        <v>0</v>
      </c>
      <c r="M60" s="459"/>
      <c r="N60" s="443"/>
      <c r="O60" s="488"/>
      <c r="P60" s="71"/>
      <c r="Q60" s="131"/>
      <c r="R60" s="131"/>
      <c r="S60" s="131"/>
      <c r="T60" s="131"/>
      <c r="U60" s="131"/>
      <c r="V60" s="131"/>
      <c r="W60" s="131"/>
      <c r="X60" s="131"/>
      <c r="Y60" s="131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517"/>
      <c r="AM60" s="478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</row>
    <row r="61" spans="1:50" ht="19.5" hidden="1" customHeight="1">
      <c r="A61" s="29" t="s">
        <v>47</v>
      </c>
      <c r="B61" s="210" t="s">
        <v>40</v>
      </c>
      <c r="C61" s="14"/>
      <c r="D61" s="129"/>
      <c r="E61" s="391"/>
      <c r="F61" s="646"/>
      <c r="G61" s="375"/>
      <c r="H61" s="392"/>
      <c r="I61" s="439"/>
      <c r="J61" s="670">
        <f t="shared" si="35"/>
        <v>0</v>
      </c>
      <c r="K61" s="427">
        <f t="shared" si="36"/>
        <v>0</v>
      </c>
      <c r="L61" s="661">
        <f t="shared" si="27"/>
        <v>0</v>
      </c>
      <c r="M61" s="459"/>
      <c r="N61" s="443"/>
      <c r="O61" s="488"/>
      <c r="P61" s="71"/>
      <c r="Q61" s="131"/>
      <c r="R61" s="131"/>
      <c r="S61" s="131"/>
      <c r="T61" s="131"/>
      <c r="U61" s="131"/>
      <c r="V61" s="131"/>
      <c r="W61" s="131"/>
      <c r="X61" s="131"/>
      <c r="Y61" s="131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517"/>
      <c r="AM61" s="478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</row>
    <row r="62" spans="1:50" ht="19.5" hidden="1" customHeight="1">
      <c r="A62" s="29" t="s">
        <v>48</v>
      </c>
      <c r="B62" s="210" t="s">
        <v>40</v>
      </c>
      <c r="C62" s="14"/>
      <c r="D62" s="129"/>
      <c r="E62" s="391"/>
      <c r="F62" s="646"/>
      <c r="G62" s="375"/>
      <c r="H62" s="392"/>
      <c r="I62" s="439"/>
      <c r="J62" s="670">
        <f t="shared" si="35"/>
        <v>0</v>
      </c>
      <c r="K62" s="427">
        <f t="shared" si="36"/>
        <v>0</v>
      </c>
      <c r="L62" s="661">
        <f t="shared" si="27"/>
        <v>0</v>
      </c>
      <c r="M62" s="459"/>
      <c r="N62" s="443"/>
      <c r="O62" s="488"/>
      <c r="P62" s="71"/>
      <c r="Q62" s="131"/>
      <c r="R62" s="131"/>
      <c r="S62" s="131"/>
      <c r="T62" s="131"/>
      <c r="U62" s="131"/>
      <c r="V62" s="131"/>
      <c r="W62" s="131"/>
      <c r="X62" s="131"/>
      <c r="Y62" s="131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517"/>
      <c r="AM62" s="478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</row>
    <row r="63" spans="1:50" ht="19.5" hidden="1" customHeight="1">
      <c r="A63" s="29" t="s">
        <v>49</v>
      </c>
      <c r="B63" s="210" t="s">
        <v>40</v>
      </c>
      <c r="C63" s="14"/>
      <c r="D63" s="129"/>
      <c r="E63" s="391"/>
      <c r="F63" s="646"/>
      <c r="G63" s="375"/>
      <c r="H63" s="392"/>
      <c r="I63" s="439"/>
      <c r="J63" s="670">
        <f t="shared" si="35"/>
        <v>0</v>
      </c>
      <c r="K63" s="427">
        <f t="shared" si="36"/>
        <v>0</v>
      </c>
      <c r="L63" s="661">
        <f t="shared" si="27"/>
        <v>0</v>
      </c>
      <c r="M63" s="459"/>
      <c r="N63" s="443"/>
      <c r="O63" s="488"/>
      <c r="P63" s="71"/>
      <c r="Q63" s="131"/>
      <c r="R63" s="131"/>
      <c r="S63" s="131"/>
      <c r="T63" s="131"/>
      <c r="U63" s="131"/>
      <c r="V63" s="131"/>
      <c r="W63" s="131"/>
      <c r="X63" s="131"/>
      <c r="Y63" s="131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517"/>
      <c r="AM63" s="478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</row>
    <row r="64" spans="1:50" ht="19.5" hidden="1" customHeight="1">
      <c r="A64" s="29" t="s">
        <v>50</v>
      </c>
      <c r="B64" s="210" t="s">
        <v>40</v>
      </c>
      <c r="C64" s="14"/>
      <c r="D64" s="129"/>
      <c r="E64" s="391"/>
      <c r="F64" s="646"/>
      <c r="G64" s="375"/>
      <c r="H64" s="392"/>
      <c r="I64" s="439"/>
      <c r="J64" s="670">
        <f t="shared" si="35"/>
        <v>0</v>
      </c>
      <c r="K64" s="427">
        <f t="shared" si="36"/>
        <v>0</v>
      </c>
      <c r="L64" s="661">
        <f t="shared" si="27"/>
        <v>0</v>
      </c>
      <c r="M64" s="459"/>
      <c r="N64" s="443"/>
      <c r="O64" s="488"/>
      <c r="P64" s="71"/>
      <c r="Q64" s="131"/>
      <c r="R64" s="131"/>
      <c r="S64" s="131"/>
      <c r="T64" s="131"/>
      <c r="U64" s="131"/>
      <c r="V64" s="131"/>
      <c r="W64" s="131"/>
      <c r="X64" s="131"/>
      <c r="Y64" s="131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517"/>
      <c r="AM64" s="478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</row>
    <row r="65" spans="1:50" ht="19.5" customHeight="1">
      <c r="A65" s="213" t="s">
        <v>106</v>
      </c>
      <c r="B65" s="210" t="s">
        <v>113</v>
      </c>
      <c r="C65" s="174"/>
      <c r="D65" s="214"/>
      <c r="E65" s="391"/>
      <c r="F65" s="646"/>
      <c r="G65" s="375"/>
      <c r="H65" s="392"/>
      <c r="I65" s="439"/>
      <c r="J65" s="670">
        <f t="shared" si="35"/>
        <v>500</v>
      </c>
      <c r="K65" s="427">
        <f t="shared" si="36"/>
        <v>2000</v>
      </c>
      <c r="L65" s="661">
        <v>2000</v>
      </c>
      <c r="M65" s="459"/>
      <c r="N65" s="443"/>
      <c r="O65" s="488"/>
      <c r="P65" s="71"/>
      <c r="Q65" s="131"/>
      <c r="R65" s="131"/>
      <c r="S65" s="131"/>
      <c r="T65" s="131"/>
      <c r="U65" s="131"/>
      <c r="V65" s="131"/>
      <c r="W65" s="131">
        <v>25</v>
      </c>
      <c r="X65" s="131">
        <v>25</v>
      </c>
      <c r="Y65" s="131">
        <v>25</v>
      </c>
      <c r="Z65" s="132">
        <v>425</v>
      </c>
      <c r="AA65" s="132">
        <v>167</v>
      </c>
      <c r="AB65" s="132">
        <v>167</v>
      </c>
      <c r="AC65" s="132">
        <v>167</v>
      </c>
      <c r="AD65" s="132">
        <v>167</v>
      </c>
      <c r="AE65" s="132">
        <v>167</v>
      </c>
      <c r="AF65" s="132">
        <v>167</v>
      </c>
      <c r="AG65" s="132">
        <v>167</v>
      </c>
      <c r="AH65" s="132">
        <v>167</v>
      </c>
      <c r="AI65" s="132">
        <v>167</v>
      </c>
      <c r="AJ65" s="132">
        <v>167</v>
      </c>
      <c r="AK65" s="132">
        <v>167</v>
      </c>
      <c r="AL65" s="517">
        <v>163</v>
      </c>
      <c r="AM65" s="478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</row>
    <row r="66" spans="1:50" ht="19.5" customHeight="1">
      <c r="A66" s="209" t="s">
        <v>87</v>
      </c>
      <c r="B66" s="320" t="s">
        <v>167</v>
      </c>
      <c r="C66" s="214"/>
      <c r="D66" s="214"/>
      <c r="E66" s="393">
        <v>0</v>
      </c>
      <c r="F66" s="411">
        <v>33000</v>
      </c>
      <c r="G66" s="385">
        <v>0</v>
      </c>
      <c r="H66" s="394"/>
      <c r="I66" s="439"/>
      <c r="J66" s="575">
        <f>SUM(O66:Z66)</f>
        <v>0</v>
      </c>
      <c r="K66" s="687">
        <f>SUM(AA66:AL66)</f>
        <v>33000</v>
      </c>
      <c r="L66" s="659">
        <f t="shared" si="27"/>
        <v>0</v>
      </c>
      <c r="M66" s="679"/>
      <c r="N66" s="443"/>
      <c r="O66" s="488"/>
      <c r="P66" s="71"/>
      <c r="Q66" s="131"/>
      <c r="R66" s="131"/>
      <c r="S66" s="131"/>
      <c r="T66" s="131"/>
      <c r="U66" s="131"/>
      <c r="V66" s="131"/>
      <c r="W66" s="131"/>
      <c r="X66" s="131"/>
      <c r="Y66" s="131"/>
      <c r="Z66" s="232"/>
      <c r="AA66" s="232"/>
      <c r="AB66" s="232">
        <v>11000</v>
      </c>
      <c r="AC66" s="232"/>
      <c r="AD66" s="232"/>
      <c r="AE66" s="232">
        <v>11000</v>
      </c>
      <c r="AF66" s="232"/>
      <c r="AG66" s="232"/>
      <c r="AH66" s="232"/>
      <c r="AI66" s="232">
        <v>11000</v>
      </c>
      <c r="AJ66" s="232"/>
      <c r="AK66" s="232"/>
      <c r="AL66" s="517"/>
      <c r="AM66" s="482"/>
      <c r="AN66" s="232"/>
      <c r="AO66" s="232"/>
      <c r="AP66" s="232"/>
      <c r="AQ66" s="232"/>
      <c r="AR66" s="232"/>
      <c r="AS66" s="232"/>
      <c r="AT66" s="232"/>
      <c r="AU66" s="232"/>
      <c r="AV66" s="232"/>
      <c r="AW66" s="232"/>
      <c r="AX66" s="232"/>
    </row>
    <row r="67" spans="1:50" ht="19.5" customHeight="1">
      <c r="A67" s="209" t="s">
        <v>87</v>
      </c>
      <c r="B67" s="320" t="s">
        <v>168</v>
      </c>
      <c r="C67" s="214"/>
      <c r="D67" s="214"/>
      <c r="E67" s="391"/>
      <c r="F67" s="405"/>
      <c r="G67" s="375"/>
      <c r="H67" s="392"/>
      <c r="I67" s="439"/>
      <c r="J67" s="670">
        <f t="shared" ref="J67:J68" si="39">SUM(O67:Z67)</f>
        <v>0</v>
      </c>
      <c r="K67" s="427">
        <f t="shared" ref="K67:K68" si="40">SUM(AA67:AL67)</f>
        <v>20000</v>
      </c>
      <c r="L67" s="661">
        <v>20000</v>
      </c>
      <c r="M67" s="459"/>
      <c r="N67" s="443"/>
      <c r="O67" s="488"/>
      <c r="P67" s="71"/>
      <c r="Q67" s="131"/>
      <c r="R67" s="131"/>
      <c r="S67" s="131"/>
      <c r="T67" s="131"/>
      <c r="U67" s="131"/>
      <c r="V67" s="131"/>
      <c r="W67" s="131"/>
      <c r="X67" s="131"/>
      <c r="Y67" s="131"/>
      <c r="Z67" s="232"/>
      <c r="AA67" s="232">
        <v>2000</v>
      </c>
      <c r="AB67" s="232">
        <v>2000</v>
      </c>
      <c r="AC67" s="232">
        <v>2000</v>
      </c>
      <c r="AD67" s="232">
        <v>2000</v>
      </c>
      <c r="AE67" s="232">
        <v>2000</v>
      </c>
      <c r="AF67" s="232">
        <v>2000</v>
      </c>
      <c r="AG67" s="232"/>
      <c r="AH67" s="232"/>
      <c r="AI67" s="232">
        <v>2000</v>
      </c>
      <c r="AJ67" s="232">
        <v>2000</v>
      </c>
      <c r="AK67" s="232">
        <v>2000</v>
      </c>
      <c r="AL67" s="232">
        <v>2000</v>
      </c>
      <c r="AM67" s="482"/>
      <c r="AN67" s="232"/>
      <c r="AO67" s="232"/>
      <c r="AP67" s="232"/>
      <c r="AQ67" s="232"/>
      <c r="AR67" s="232"/>
      <c r="AS67" s="232"/>
      <c r="AT67" s="232"/>
      <c r="AU67" s="232"/>
      <c r="AV67" s="232"/>
      <c r="AW67" s="232"/>
      <c r="AX67" s="232"/>
    </row>
    <row r="68" spans="1:50" ht="19.5" customHeight="1">
      <c r="A68" s="209" t="s">
        <v>87</v>
      </c>
      <c r="B68" s="231" t="s">
        <v>114</v>
      </c>
      <c r="C68" s="214"/>
      <c r="D68" s="214"/>
      <c r="E68" s="391"/>
      <c r="F68" s="405"/>
      <c r="G68" s="375"/>
      <c r="H68" s="392"/>
      <c r="I68" s="439"/>
      <c r="J68" s="670">
        <f t="shared" si="39"/>
        <v>0</v>
      </c>
      <c r="K68" s="427">
        <f t="shared" si="40"/>
        <v>25000</v>
      </c>
      <c r="L68" s="661">
        <v>25000</v>
      </c>
      <c r="M68" s="459"/>
      <c r="N68" s="443"/>
      <c r="O68" s="488"/>
      <c r="P68" s="71"/>
      <c r="Q68" s="131"/>
      <c r="R68" s="131"/>
      <c r="S68" s="131"/>
      <c r="T68" s="131"/>
      <c r="U68" s="131"/>
      <c r="V68" s="131"/>
      <c r="W68" s="131"/>
      <c r="X68" s="131"/>
      <c r="Y68" s="131"/>
      <c r="Z68" s="232"/>
      <c r="AA68" s="232">
        <v>2500</v>
      </c>
      <c r="AB68" s="232">
        <v>2500</v>
      </c>
      <c r="AC68" s="232">
        <v>2500</v>
      </c>
      <c r="AD68" s="232">
        <v>2500</v>
      </c>
      <c r="AE68" s="232">
        <v>2500</v>
      </c>
      <c r="AF68" s="232">
        <v>2500</v>
      </c>
      <c r="AG68" s="232"/>
      <c r="AH68" s="232"/>
      <c r="AI68" s="232">
        <v>2500</v>
      </c>
      <c r="AJ68" s="232">
        <v>2500</v>
      </c>
      <c r="AK68" s="232">
        <v>2500</v>
      </c>
      <c r="AL68" s="517">
        <v>2500</v>
      </c>
      <c r="AM68" s="482"/>
      <c r="AN68" s="232"/>
      <c r="AO68" s="232"/>
      <c r="AP68" s="232"/>
      <c r="AQ68" s="232"/>
      <c r="AR68" s="232"/>
      <c r="AS68" s="232"/>
      <c r="AT68" s="232"/>
      <c r="AU68" s="232"/>
      <c r="AV68" s="232"/>
      <c r="AW68" s="232"/>
      <c r="AX68" s="232"/>
    </row>
    <row r="69" spans="1:50" ht="19.5" customHeight="1">
      <c r="A69" s="209" t="s">
        <v>87</v>
      </c>
      <c r="B69" s="231" t="s">
        <v>202</v>
      </c>
      <c r="C69" s="214"/>
      <c r="D69" s="214"/>
      <c r="E69" s="391"/>
      <c r="F69" s="405"/>
      <c r="G69" s="375"/>
      <c r="H69" s="392"/>
      <c r="I69" s="439"/>
      <c r="J69" s="670">
        <f t="shared" ref="J69" si="41">SUM(O69:Z69)</f>
        <v>0</v>
      </c>
      <c r="K69" s="427">
        <f t="shared" ref="K69" si="42">SUM(AA69:AL69)</f>
        <v>0</v>
      </c>
      <c r="L69" s="661">
        <v>0</v>
      </c>
      <c r="M69" s="459"/>
      <c r="N69" s="443"/>
      <c r="O69" s="488"/>
      <c r="P69" s="71"/>
      <c r="Q69" s="131"/>
      <c r="R69" s="131"/>
      <c r="S69" s="131"/>
      <c r="T69" s="131"/>
      <c r="U69" s="131"/>
      <c r="V69" s="131"/>
      <c r="W69" s="131"/>
      <c r="X69" s="131"/>
      <c r="Y69" s="131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517"/>
      <c r="AM69" s="482"/>
      <c r="AN69" s="232"/>
      <c r="AO69" s="232"/>
      <c r="AP69" s="232"/>
      <c r="AQ69" s="232"/>
      <c r="AR69" s="232"/>
      <c r="AS69" s="232"/>
      <c r="AT69" s="232"/>
      <c r="AU69" s="232"/>
      <c r="AV69" s="232"/>
      <c r="AW69" s="232"/>
      <c r="AX69" s="232"/>
    </row>
    <row r="70" spans="1:50" ht="19.5" customHeight="1">
      <c r="A70" s="215" t="s">
        <v>38</v>
      </c>
      <c r="B70" s="320" t="s">
        <v>165</v>
      </c>
      <c r="C70" s="214"/>
      <c r="D70" s="214"/>
      <c r="E70" s="391"/>
      <c r="F70" s="405"/>
      <c r="G70" s="375"/>
      <c r="H70" s="392"/>
      <c r="I70" s="439"/>
      <c r="J70" s="670">
        <f t="shared" ref="J70:J71" si="43">SUM(O70:Z70)</f>
        <v>0</v>
      </c>
      <c r="K70" s="427">
        <f t="shared" ref="K70:K71" si="44">SUM(AA70:AL70)</f>
        <v>30000</v>
      </c>
      <c r="L70" s="661">
        <v>60000</v>
      </c>
      <c r="M70" s="459"/>
      <c r="N70" s="443"/>
      <c r="O70" s="488"/>
      <c r="P70" s="71"/>
      <c r="Q70" s="131"/>
      <c r="R70" s="131"/>
      <c r="S70" s="131"/>
      <c r="T70" s="131"/>
      <c r="U70" s="131"/>
      <c r="V70" s="131"/>
      <c r="W70" s="131"/>
      <c r="X70" s="131"/>
      <c r="Y70" s="131"/>
      <c r="Z70" s="232"/>
      <c r="AA70" s="232">
        <v>2500</v>
      </c>
      <c r="AB70" s="232">
        <v>2500</v>
      </c>
      <c r="AC70" s="232">
        <v>2500</v>
      </c>
      <c r="AD70" s="232">
        <v>2500</v>
      </c>
      <c r="AE70" s="232">
        <v>2500</v>
      </c>
      <c r="AF70" s="232">
        <v>2500</v>
      </c>
      <c r="AG70" s="232">
        <v>2500</v>
      </c>
      <c r="AH70" s="232">
        <v>2500</v>
      </c>
      <c r="AI70" s="232">
        <v>2500</v>
      </c>
      <c r="AJ70" s="232">
        <v>2500</v>
      </c>
      <c r="AK70" s="232">
        <v>2500</v>
      </c>
      <c r="AL70" s="517">
        <v>2500</v>
      </c>
      <c r="AM70" s="48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</row>
    <row r="71" spans="1:50" ht="19.5" customHeight="1">
      <c r="A71" s="215" t="s">
        <v>51</v>
      </c>
      <c r="B71" s="320" t="s">
        <v>166</v>
      </c>
      <c r="C71" s="214"/>
      <c r="D71" s="214"/>
      <c r="E71" s="391"/>
      <c r="F71" s="405"/>
      <c r="G71" s="375"/>
      <c r="H71" s="392"/>
      <c r="I71" s="439"/>
      <c r="J71" s="670">
        <f t="shared" si="43"/>
        <v>0</v>
      </c>
      <c r="K71" s="427">
        <f t="shared" si="44"/>
        <v>13500</v>
      </c>
      <c r="L71" s="661">
        <v>28000</v>
      </c>
      <c r="M71" s="459"/>
      <c r="N71" s="443"/>
      <c r="O71" s="488"/>
      <c r="P71" s="71"/>
      <c r="Q71" s="131"/>
      <c r="R71" s="131"/>
      <c r="S71" s="131"/>
      <c r="T71" s="131"/>
      <c r="U71" s="131"/>
      <c r="V71" s="131"/>
      <c r="W71" s="131"/>
      <c r="X71" s="131"/>
      <c r="Y71" s="131"/>
      <c r="Z71" s="232"/>
      <c r="AA71" s="232">
        <v>1125</v>
      </c>
      <c r="AB71" s="232">
        <v>1125</v>
      </c>
      <c r="AC71" s="232">
        <v>1125</v>
      </c>
      <c r="AD71" s="232">
        <v>1125</v>
      </c>
      <c r="AE71" s="232">
        <v>1125</v>
      </c>
      <c r="AF71" s="232">
        <v>1125</v>
      </c>
      <c r="AG71" s="232">
        <v>1125</v>
      </c>
      <c r="AH71" s="232">
        <v>1125</v>
      </c>
      <c r="AI71" s="232">
        <v>1125</v>
      </c>
      <c r="AJ71" s="232">
        <v>1125</v>
      </c>
      <c r="AK71" s="232">
        <v>1125</v>
      </c>
      <c r="AL71" s="517">
        <v>1125</v>
      </c>
      <c r="AM71" s="482"/>
      <c r="AN71" s="232"/>
      <c r="AO71" s="232"/>
      <c r="AP71" s="232"/>
      <c r="AQ71" s="232"/>
      <c r="AR71" s="232"/>
      <c r="AS71" s="232"/>
      <c r="AT71" s="232"/>
      <c r="AU71" s="232"/>
      <c r="AV71" s="232"/>
      <c r="AW71" s="232"/>
      <c r="AX71" s="232"/>
    </row>
    <row r="72" spans="1:50" ht="19.5" customHeight="1">
      <c r="A72" s="215" t="s">
        <v>38</v>
      </c>
      <c r="B72" s="216" t="s">
        <v>66</v>
      </c>
      <c r="C72" s="193"/>
      <c r="D72" s="217"/>
      <c r="E72" s="391"/>
      <c r="F72" s="405"/>
      <c r="G72" s="375"/>
      <c r="H72" s="392"/>
      <c r="I72" s="439"/>
      <c r="J72" s="670">
        <f t="shared" si="25"/>
        <v>12600</v>
      </c>
      <c r="K72" s="688">
        <f>SUM(AA72:AL72)</f>
        <v>28750</v>
      </c>
      <c r="L72" s="661">
        <f t="shared" si="27"/>
        <v>30000</v>
      </c>
      <c r="M72" s="459"/>
      <c r="N72" s="443"/>
      <c r="O72" s="524"/>
      <c r="P72" s="84">
        <v>100</v>
      </c>
      <c r="Q72" s="84">
        <v>1250</v>
      </c>
      <c r="R72" s="84">
        <v>1250</v>
      </c>
      <c r="S72" s="84">
        <v>1250</v>
      </c>
      <c r="T72" s="84">
        <v>1250</v>
      </c>
      <c r="U72" s="84">
        <v>1250</v>
      </c>
      <c r="V72" s="84">
        <v>1250</v>
      </c>
      <c r="W72" s="84">
        <v>1250</v>
      </c>
      <c r="X72" s="84">
        <v>1250</v>
      </c>
      <c r="Y72" s="84">
        <v>1250</v>
      </c>
      <c r="Z72" s="86">
        <v>1250</v>
      </c>
      <c r="AA72" s="86">
        <v>1250</v>
      </c>
      <c r="AB72" s="86">
        <v>2500</v>
      </c>
      <c r="AC72" s="86">
        <v>2500</v>
      </c>
      <c r="AD72" s="86">
        <v>2500</v>
      </c>
      <c r="AE72" s="86">
        <v>2500</v>
      </c>
      <c r="AF72" s="86">
        <v>2500</v>
      </c>
      <c r="AG72" s="86">
        <v>2500</v>
      </c>
      <c r="AH72" s="86">
        <v>2500</v>
      </c>
      <c r="AI72" s="86">
        <v>2500</v>
      </c>
      <c r="AJ72" s="86">
        <v>2500</v>
      </c>
      <c r="AK72" s="86">
        <v>2500</v>
      </c>
      <c r="AL72" s="525">
        <v>2500</v>
      </c>
      <c r="AM72" s="483">
        <v>2500</v>
      </c>
      <c r="AN72" s="86">
        <v>2500</v>
      </c>
      <c r="AO72" s="86">
        <v>2500</v>
      </c>
      <c r="AP72" s="86">
        <v>2500</v>
      </c>
      <c r="AQ72" s="86">
        <v>2500</v>
      </c>
      <c r="AR72" s="86">
        <v>2500</v>
      </c>
      <c r="AS72" s="86">
        <v>2500</v>
      </c>
      <c r="AT72" s="86">
        <v>2500</v>
      </c>
      <c r="AU72" s="86">
        <v>2500</v>
      </c>
      <c r="AV72" s="86">
        <v>2500</v>
      </c>
      <c r="AW72" s="86">
        <v>2500</v>
      </c>
      <c r="AX72" s="86">
        <v>2500</v>
      </c>
    </row>
    <row r="73" spans="1:50" ht="19.5" customHeight="1">
      <c r="A73" s="215" t="s">
        <v>51</v>
      </c>
      <c r="B73" s="192" t="s">
        <v>52</v>
      </c>
      <c r="C73" s="193"/>
      <c r="D73" s="217"/>
      <c r="E73" s="391"/>
      <c r="F73" s="405"/>
      <c r="G73" s="375"/>
      <c r="H73" s="392"/>
      <c r="I73" s="439"/>
      <c r="J73" s="670">
        <f t="shared" si="25"/>
        <v>3030</v>
      </c>
      <c r="K73" s="688">
        <f t="shared" si="26"/>
        <v>11300</v>
      </c>
      <c r="L73" s="661">
        <f t="shared" si="27"/>
        <v>12000</v>
      </c>
      <c r="M73" s="459"/>
      <c r="N73" s="443"/>
      <c r="O73" s="524"/>
      <c r="P73" s="84">
        <v>30</v>
      </c>
      <c r="Q73" s="84">
        <v>300</v>
      </c>
      <c r="R73" s="84">
        <v>300</v>
      </c>
      <c r="S73" s="84">
        <v>300</v>
      </c>
      <c r="T73" s="84">
        <v>300</v>
      </c>
      <c r="U73" s="84">
        <v>300</v>
      </c>
      <c r="V73" s="84">
        <v>300</v>
      </c>
      <c r="W73" s="84">
        <v>300</v>
      </c>
      <c r="X73" s="84">
        <v>300</v>
      </c>
      <c r="Y73" s="84">
        <v>300</v>
      </c>
      <c r="Z73" s="86">
        <v>300</v>
      </c>
      <c r="AA73" s="86">
        <v>300</v>
      </c>
      <c r="AB73" s="86">
        <f t="shared" ref="AB73:AX73" si="45">AB72*40%</f>
        <v>1000</v>
      </c>
      <c r="AC73" s="86">
        <f t="shared" si="45"/>
        <v>1000</v>
      </c>
      <c r="AD73" s="86">
        <f t="shared" si="45"/>
        <v>1000</v>
      </c>
      <c r="AE73" s="86">
        <f t="shared" si="45"/>
        <v>1000</v>
      </c>
      <c r="AF73" s="86">
        <f t="shared" si="45"/>
        <v>1000</v>
      </c>
      <c r="AG73" s="86">
        <f t="shared" si="45"/>
        <v>1000</v>
      </c>
      <c r="AH73" s="86">
        <f t="shared" si="45"/>
        <v>1000</v>
      </c>
      <c r="AI73" s="86">
        <f t="shared" si="45"/>
        <v>1000</v>
      </c>
      <c r="AJ73" s="86">
        <f t="shared" si="45"/>
        <v>1000</v>
      </c>
      <c r="AK73" s="86">
        <f t="shared" si="45"/>
        <v>1000</v>
      </c>
      <c r="AL73" s="525">
        <f t="shared" si="45"/>
        <v>1000</v>
      </c>
      <c r="AM73" s="483">
        <f t="shared" si="45"/>
        <v>1000</v>
      </c>
      <c r="AN73" s="86">
        <f t="shared" si="45"/>
        <v>1000</v>
      </c>
      <c r="AO73" s="86">
        <f t="shared" si="45"/>
        <v>1000</v>
      </c>
      <c r="AP73" s="86">
        <f t="shared" si="45"/>
        <v>1000</v>
      </c>
      <c r="AQ73" s="86">
        <f t="shared" si="45"/>
        <v>1000</v>
      </c>
      <c r="AR73" s="86">
        <f t="shared" si="45"/>
        <v>1000</v>
      </c>
      <c r="AS73" s="86">
        <f t="shared" si="45"/>
        <v>1000</v>
      </c>
      <c r="AT73" s="86">
        <f t="shared" si="45"/>
        <v>1000</v>
      </c>
      <c r="AU73" s="86">
        <f t="shared" si="45"/>
        <v>1000</v>
      </c>
      <c r="AV73" s="86">
        <f t="shared" si="45"/>
        <v>1000</v>
      </c>
      <c r="AW73" s="86">
        <f t="shared" si="45"/>
        <v>1000</v>
      </c>
      <c r="AX73" s="86">
        <f t="shared" si="45"/>
        <v>1000</v>
      </c>
    </row>
    <row r="74" spans="1:50" ht="19.5" customHeight="1">
      <c r="A74" s="215" t="s">
        <v>38</v>
      </c>
      <c r="B74" s="216" t="s">
        <v>169</v>
      </c>
      <c r="C74" s="193"/>
      <c r="D74" s="217"/>
      <c r="E74" s="391" t="s">
        <v>28</v>
      </c>
      <c r="F74" s="405"/>
      <c r="G74" s="375"/>
      <c r="H74" s="392"/>
      <c r="I74" s="439"/>
      <c r="J74" s="670">
        <f t="shared" si="25"/>
        <v>11250</v>
      </c>
      <c r="K74" s="688">
        <f t="shared" si="26"/>
        <v>0</v>
      </c>
      <c r="L74" s="661">
        <v>10000</v>
      </c>
      <c r="M74" s="459"/>
      <c r="N74" s="443"/>
      <c r="O74" s="524"/>
      <c r="P74" s="84"/>
      <c r="Q74" s="84"/>
      <c r="R74" s="84">
        <v>1250</v>
      </c>
      <c r="S74" s="84">
        <v>1250</v>
      </c>
      <c r="T74" s="84">
        <v>1250</v>
      </c>
      <c r="U74" s="84">
        <v>1250</v>
      </c>
      <c r="V74" s="84">
        <v>1250</v>
      </c>
      <c r="W74" s="84">
        <v>1250</v>
      </c>
      <c r="X74" s="84">
        <v>1250</v>
      </c>
      <c r="Y74" s="84">
        <v>1250</v>
      </c>
      <c r="Z74" s="86">
        <v>1250</v>
      </c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525"/>
      <c r="AM74" s="483">
        <v>2500</v>
      </c>
      <c r="AN74" s="86">
        <v>2500</v>
      </c>
      <c r="AO74" s="86">
        <v>2500</v>
      </c>
      <c r="AP74" s="86">
        <v>2500</v>
      </c>
      <c r="AQ74" s="86">
        <v>2500</v>
      </c>
      <c r="AR74" s="86">
        <v>2500</v>
      </c>
      <c r="AS74" s="86">
        <v>2500</v>
      </c>
      <c r="AT74" s="86">
        <v>2500</v>
      </c>
      <c r="AU74" s="86">
        <v>2500</v>
      </c>
      <c r="AV74" s="86">
        <v>2500</v>
      </c>
      <c r="AW74" s="86">
        <v>2500</v>
      </c>
      <c r="AX74" s="86">
        <v>2500</v>
      </c>
    </row>
    <row r="75" spans="1:50" ht="19.5" customHeight="1">
      <c r="A75" s="215" t="s">
        <v>51</v>
      </c>
      <c r="B75" s="216" t="s">
        <v>53</v>
      </c>
      <c r="C75" s="193"/>
      <c r="D75" s="217"/>
      <c r="E75" s="391"/>
      <c r="F75" s="405"/>
      <c r="G75" s="375"/>
      <c r="H75" s="392"/>
      <c r="I75" s="439"/>
      <c r="J75" s="670">
        <f t="shared" si="25"/>
        <v>2700</v>
      </c>
      <c r="K75" s="688">
        <f t="shared" si="26"/>
        <v>0</v>
      </c>
      <c r="L75" s="661">
        <v>3500</v>
      </c>
      <c r="M75" s="459"/>
      <c r="N75" s="443"/>
      <c r="O75" s="524"/>
      <c r="P75" s="84"/>
      <c r="Q75" s="84"/>
      <c r="R75" s="84">
        <v>300</v>
      </c>
      <c r="S75" s="84">
        <v>300</v>
      </c>
      <c r="T75" s="84">
        <v>300</v>
      </c>
      <c r="U75" s="84">
        <v>300</v>
      </c>
      <c r="V75" s="84">
        <v>300</v>
      </c>
      <c r="W75" s="84">
        <v>300</v>
      </c>
      <c r="X75" s="84">
        <v>300</v>
      </c>
      <c r="Y75" s="84">
        <v>300</v>
      </c>
      <c r="Z75" s="86">
        <v>300</v>
      </c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525"/>
      <c r="AM75" s="483">
        <f t="shared" ref="AM75:AX75" si="46">AM74*40%</f>
        <v>1000</v>
      </c>
      <c r="AN75" s="86">
        <f t="shared" si="46"/>
        <v>1000</v>
      </c>
      <c r="AO75" s="86">
        <f t="shared" si="46"/>
        <v>1000</v>
      </c>
      <c r="AP75" s="86">
        <f t="shared" si="46"/>
        <v>1000</v>
      </c>
      <c r="AQ75" s="86">
        <f t="shared" si="46"/>
        <v>1000</v>
      </c>
      <c r="AR75" s="86">
        <f t="shared" si="46"/>
        <v>1000</v>
      </c>
      <c r="AS75" s="86">
        <f t="shared" si="46"/>
        <v>1000</v>
      </c>
      <c r="AT75" s="86">
        <f t="shared" si="46"/>
        <v>1000</v>
      </c>
      <c r="AU75" s="86">
        <f t="shared" si="46"/>
        <v>1000</v>
      </c>
      <c r="AV75" s="86">
        <f t="shared" si="46"/>
        <v>1000</v>
      </c>
      <c r="AW75" s="86">
        <f t="shared" si="46"/>
        <v>1000</v>
      </c>
      <c r="AX75" s="86">
        <f t="shared" si="46"/>
        <v>1000</v>
      </c>
    </row>
    <row r="76" spans="1:50" ht="19.5" customHeight="1" thickBot="1">
      <c r="A76" s="29" t="s">
        <v>54</v>
      </c>
      <c r="B76" s="152" t="s">
        <v>72</v>
      </c>
      <c r="C76" s="14"/>
      <c r="D76" s="129"/>
      <c r="E76" s="391"/>
      <c r="F76" s="405"/>
      <c r="G76" s="375"/>
      <c r="H76" s="392"/>
      <c r="I76" s="439"/>
      <c r="J76" s="670">
        <f t="shared" si="25"/>
        <v>0</v>
      </c>
      <c r="K76" s="427">
        <f t="shared" si="26"/>
        <v>0</v>
      </c>
      <c r="L76" s="661">
        <f t="shared" si="27"/>
        <v>0</v>
      </c>
      <c r="M76" s="459"/>
      <c r="N76" s="443"/>
      <c r="O76" s="526">
        <f t="shared" ref="O76:AX76" si="47">O93</f>
        <v>0</v>
      </c>
      <c r="P76" s="112">
        <f t="shared" si="47"/>
        <v>0</v>
      </c>
      <c r="Q76" s="89">
        <f t="shared" si="47"/>
        <v>0</v>
      </c>
      <c r="R76" s="89">
        <f t="shared" si="47"/>
        <v>0</v>
      </c>
      <c r="S76" s="89">
        <f t="shared" si="47"/>
        <v>0</v>
      </c>
      <c r="T76" s="89">
        <f t="shared" si="47"/>
        <v>0</v>
      </c>
      <c r="U76" s="89">
        <f t="shared" si="47"/>
        <v>0</v>
      </c>
      <c r="V76" s="89">
        <f t="shared" si="47"/>
        <v>0</v>
      </c>
      <c r="W76" s="89">
        <f t="shared" si="47"/>
        <v>0</v>
      </c>
      <c r="X76" s="89">
        <f t="shared" si="47"/>
        <v>0</v>
      </c>
      <c r="Y76" s="89">
        <f t="shared" si="47"/>
        <v>0</v>
      </c>
      <c r="Z76" s="90">
        <f t="shared" si="47"/>
        <v>0</v>
      </c>
      <c r="AA76" s="90">
        <f t="shared" si="47"/>
        <v>0</v>
      </c>
      <c r="AB76" s="90">
        <f t="shared" si="47"/>
        <v>0</v>
      </c>
      <c r="AC76" s="90">
        <f t="shared" si="47"/>
        <v>0</v>
      </c>
      <c r="AD76" s="90">
        <f t="shared" si="47"/>
        <v>0</v>
      </c>
      <c r="AE76" s="90">
        <f t="shared" si="47"/>
        <v>0</v>
      </c>
      <c r="AF76" s="90">
        <f t="shared" si="47"/>
        <v>0</v>
      </c>
      <c r="AG76" s="90">
        <f t="shared" si="47"/>
        <v>0</v>
      </c>
      <c r="AH76" s="90">
        <f t="shared" si="47"/>
        <v>0</v>
      </c>
      <c r="AI76" s="90">
        <f t="shared" si="47"/>
        <v>0</v>
      </c>
      <c r="AJ76" s="90">
        <f t="shared" si="47"/>
        <v>0</v>
      </c>
      <c r="AK76" s="90">
        <f t="shared" si="47"/>
        <v>0</v>
      </c>
      <c r="AL76" s="527">
        <f t="shared" si="47"/>
        <v>0</v>
      </c>
      <c r="AM76" s="484">
        <f t="shared" si="47"/>
        <v>0</v>
      </c>
      <c r="AN76" s="90">
        <f t="shared" si="47"/>
        <v>0</v>
      </c>
      <c r="AO76" s="90">
        <f t="shared" si="47"/>
        <v>0</v>
      </c>
      <c r="AP76" s="90">
        <f t="shared" si="47"/>
        <v>0</v>
      </c>
      <c r="AQ76" s="90">
        <f t="shared" si="47"/>
        <v>0</v>
      </c>
      <c r="AR76" s="90">
        <f t="shared" si="47"/>
        <v>0</v>
      </c>
      <c r="AS76" s="90">
        <f t="shared" si="47"/>
        <v>0</v>
      </c>
      <c r="AT76" s="90">
        <f t="shared" si="47"/>
        <v>0</v>
      </c>
      <c r="AU76" s="90">
        <f t="shared" si="47"/>
        <v>0</v>
      </c>
      <c r="AV76" s="90">
        <f t="shared" si="47"/>
        <v>0</v>
      </c>
      <c r="AW76" s="90">
        <f t="shared" si="47"/>
        <v>0</v>
      </c>
      <c r="AX76" s="90">
        <f t="shared" si="47"/>
        <v>0</v>
      </c>
    </row>
    <row r="77" spans="1:50" ht="19.5" customHeight="1" thickBot="1">
      <c r="A77" s="30" t="s">
        <v>29</v>
      </c>
      <c r="B77" s="135" t="s">
        <v>28</v>
      </c>
      <c r="C77" s="91"/>
      <c r="D77" s="147"/>
      <c r="E77" s="639">
        <f>SUM(E45:E76)</f>
        <v>50445</v>
      </c>
      <c r="F77" s="412">
        <f>SUM(F45:F76)</f>
        <v>157501</v>
      </c>
      <c r="G77" s="629">
        <f>SUM(G45:G76)</f>
        <v>2400</v>
      </c>
      <c r="H77" s="652"/>
      <c r="I77" s="448"/>
      <c r="J77" s="672">
        <f>SUM(J45:J76)</f>
        <v>90224.790000000008</v>
      </c>
      <c r="K77" s="431">
        <f>SUM(K45:K76)</f>
        <v>350951.9</v>
      </c>
      <c r="L77" s="664">
        <f>SUM(L45:L76)</f>
        <v>270232</v>
      </c>
      <c r="M77" s="649"/>
      <c r="N77" s="444"/>
      <c r="O77" s="528">
        <f t="shared" ref="O77:AX77" si="48">SUM(O45:O76)</f>
        <v>0</v>
      </c>
      <c r="P77" s="122">
        <f t="shared" si="48"/>
        <v>130</v>
      </c>
      <c r="Q77" s="122">
        <f t="shared" si="48"/>
        <v>1550</v>
      </c>
      <c r="R77" s="122">
        <f t="shared" si="48"/>
        <v>3100</v>
      </c>
      <c r="S77" s="122">
        <f t="shared" si="48"/>
        <v>3100</v>
      </c>
      <c r="T77" s="122">
        <f t="shared" si="48"/>
        <v>3100</v>
      </c>
      <c r="U77" s="122">
        <f t="shared" si="48"/>
        <v>14600</v>
      </c>
      <c r="V77" s="122">
        <f t="shared" si="48"/>
        <v>3100</v>
      </c>
      <c r="W77" s="122">
        <f t="shared" si="48"/>
        <v>4046</v>
      </c>
      <c r="X77" s="122">
        <f t="shared" si="48"/>
        <v>7118</v>
      </c>
      <c r="Y77" s="122">
        <f t="shared" si="48"/>
        <v>5518</v>
      </c>
      <c r="Z77" s="123">
        <f t="shared" si="48"/>
        <v>44862.79</v>
      </c>
      <c r="AA77" s="123">
        <f t="shared" si="48"/>
        <v>17198.25</v>
      </c>
      <c r="AB77" s="123">
        <f t="shared" si="48"/>
        <v>34148.25</v>
      </c>
      <c r="AC77" s="123">
        <f t="shared" si="48"/>
        <v>71268.195000000007</v>
      </c>
      <c r="AD77" s="123">
        <f t="shared" si="48"/>
        <v>36745.875</v>
      </c>
      <c r="AE77" s="123">
        <f t="shared" si="48"/>
        <v>32323.195</v>
      </c>
      <c r="AF77" s="123">
        <f t="shared" si="48"/>
        <v>37023.195</v>
      </c>
      <c r="AG77" s="123">
        <f t="shared" si="48"/>
        <v>10885</v>
      </c>
      <c r="AH77" s="123">
        <f t="shared" si="48"/>
        <v>10885</v>
      </c>
      <c r="AI77" s="123">
        <f t="shared" si="48"/>
        <v>48131.195</v>
      </c>
      <c r="AJ77" s="123">
        <f t="shared" si="48"/>
        <v>20426.875</v>
      </c>
      <c r="AK77" s="123">
        <f t="shared" si="48"/>
        <v>21560.195</v>
      </c>
      <c r="AL77" s="529">
        <f t="shared" si="48"/>
        <v>21556.195</v>
      </c>
      <c r="AM77" s="485">
        <f t="shared" si="48"/>
        <v>11026.4</v>
      </c>
      <c r="AN77" s="123">
        <f t="shared" si="48"/>
        <v>20669.5</v>
      </c>
      <c r="AO77" s="123">
        <f t="shared" si="48"/>
        <v>20669.5</v>
      </c>
      <c r="AP77" s="123">
        <f t="shared" si="48"/>
        <v>20669.5</v>
      </c>
      <c r="AQ77" s="123">
        <f t="shared" si="48"/>
        <v>20669.5</v>
      </c>
      <c r="AR77" s="123">
        <f t="shared" si="48"/>
        <v>20669.5</v>
      </c>
      <c r="AS77" s="123">
        <f t="shared" si="48"/>
        <v>20669.5</v>
      </c>
      <c r="AT77" s="123">
        <f t="shared" si="48"/>
        <v>20669.5</v>
      </c>
      <c r="AU77" s="123">
        <f t="shared" si="48"/>
        <v>20669.5</v>
      </c>
      <c r="AV77" s="123">
        <f t="shared" si="48"/>
        <v>20669.5</v>
      </c>
      <c r="AW77" s="123">
        <f t="shared" si="48"/>
        <v>20669.5</v>
      </c>
      <c r="AX77" s="123">
        <f t="shared" si="48"/>
        <v>20669.5</v>
      </c>
    </row>
    <row r="78" spans="1:50" ht="19.5" customHeight="1" thickBot="1">
      <c r="A78" s="53" t="s">
        <v>228</v>
      </c>
      <c r="B78" s="54"/>
      <c r="C78" s="54"/>
      <c r="D78" s="148"/>
      <c r="E78" s="640">
        <f>+E44+E77</f>
        <v>50445</v>
      </c>
      <c r="F78" s="414">
        <f>+F44+F77</f>
        <v>157501</v>
      </c>
      <c r="G78" s="630">
        <f>+G44+G77</f>
        <v>2400</v>
      </c>
      <c r="H78" s="415"/>
      <c r="I78" s="448"/>
      <c r="J78" s="640">
        <f>+J44+J77</f>
        <v>90224.790000000008</v>
      </c>
      <c r="K78" s="414">
        <f>+K44+K77</f>
        <v>350951.9</v>
      </c>
      <c r="L78" s="630">
        <f>+L44+L77</f>
        <v>276232</v>
      </c>
      <c r="M78" s="415"/>
      <c r="N78" s="448"/>
      <c r="O78" s="508">
        <f t="shared" ref="O78:AX78" si="49">O44+O77</f>
        <v>0</v>
      </c>
      <c r="P78" s="56">
        <f t="shared" si="49"/>
        <v>130</v>
      </c>
      <c r="Q78" s="56">
        <f t="shared" si="49"/>
        <v>1550</v>
      </c>
      <c r="R78" s="56">
        <f t="shared" si="49"/>
        <v>3100</v>
      </c>
      <c r="S78" s="56">
        <f t="shared" si="49"/>
        <v>3100</v>
      </c>
      <c r="T78" s="56">
        <f t="shared" si="49"/>
        <v>3100</v>
      </c>
      <c r="U78" s="56">
        <f t="shared" si="49"/>
        <v>14600</v>
      </c>
      <c r="V78" s="56">
        <f t="shared" si="49"/>
        <v>3100</v>
      </c>
      <c r="W78" s="56">
        <f t="shared" si="49"/>
        <v>4046</v>
      </c>
      <c r="X78" s="56">
        <f t="shared" si="49"/>
        <v>7118</v>
      </c>
      <c r="Y78" s="56">
        <f t="shared" si="49"/>
        <v>5518</v>
      </c>
      <c r="Z78" s="57">
        <f t="shared" si="49"/>
        <v>44862.79</v>
      </c>
      <c r="AA78" s="57">
        <f t="shared" si="49"/>
        <v>17198.25</v>
      </c>
      <c r="AB78" s="57">
        <f t="shared" si="49"/>
        <v>34148.25</v>
      </c>
      <c r="AC78" s="57">
        <f t="shared" si="49"/>
        <v>71268.195000000007</v>
      </c>
      <c r="AD78" s="57">
        <f t="shared" si="49"/>
        <v>36745.875</v>
      </c>
      <c r="AE78" s="57">
        <f t="shared" si="49"/>
        <v>32323.195</v>
      </c>
      <c r="AF78" s="57">
        <f t="shared" si="49"/>
        <v>37023.195</v>
      </c>
      <c r="AG78" s="57">
        <f t="shared" si="49"/>
        <v>10885</v>
      </c>
      <c r="AH78" s="57">
        <f t="shared" si="49"/>
        <v>10885</v>
      </c>
      <c r="AI78" s="57">
        <f t="shared" si="49"/>
        <v>48131.195</v>
      </c>
      <c r="AJ78" s="57">
        <f t="shared" si="49"/>
        <v>20426.875</v>
      </c>
      <c r="AK78" s="57">
        <f t="shared" si="49"/>
        <v>21560.195</v>
      </c>
      <c r="AL78" s="509">
        <f t="shared" si="49"/>
        <v>21556.195</v>
      </c>
      <c r="AM78" s="474">
        <f t="shared" si="49"/>
        <v>11026.4</v>
      </c>
      <c r="AN78" s="57">
        <f t="shared" si="49"/>
        <v>20669.5</v>
      </c>
      <c r="AO78" s="57">
        <f t="shared" si="49"/>
        <v>20669.5</v>
      </c>
      <c r="AP78" s="57">
        <f t="shared" si="49"/>
        <v>20669.5</v>
      </c>
      <c r="AQ78" s="57">
        <f t="shared" si="49"/>
        <v>20669.5</v>
      </c>
      <c r="AR78" s="57">
        <f t="shared" si="49"/>
        <v>20669.5</v>
      </c>
      <c r="AS78" s="57">
        <f t="shared" si="49"/>
        <v>20669.5</v>
      </c>
      <c r="AT78" s="57">
        <f t="shared" si="49"/>
        <v>20669.5</v>
      </c>
      <c r="AU78" s="57">
        <f t="shared" si="49"/>
        <v>20669.5</v>
      </c>
      <c r="AV78" s="57">
        <f t="shared" si="49"/>
        <v>20669.5</v>
      </c>
      <c r="AW78" s="57">
        <f t="shared" si="49"/>
        <v>20669.5</v>
      </c>
      <c r="AX78" s="57">
        <f t="shared" si="49"/>
        <v>20669.5</v>
      </c>
    </row>
    <row r="79" spans="1:50" ht="19.5" customHeight="1" thickBot="1">
      <c r="A79" s="579"/>
      <c r="B79" s="580"/>
      <c r="C79" s="580"/>
      <c r="D79" s="693" t="s">
        <v>226</v>
      </c>
      <c r="E79" s="591" t="s">
        <v>200</v>
      </c>
      <c r="F79" s="653">
        <f>+F78+G78</f>
        <v>159901</v>
      </c>
      <c r="G79" s="633"/>
      <c r="H79" s="654"/>
      <c r="I79" s="453"/>
      <c r="J79" s="673"/>
      <c r="K79" s="581"/>
      <c r="L79" s="665"/>
      <c r="M79" s="689"/>
      <c r="N79" s="445"/>
      <c r="O79" s="582"/>
      <c r="P79" s="560"/>
      <c r="Q79" s="560"/>
      <c r="R79" s="560"/>
      <c r="S79" s="560"/>
      <c r="T79" s="560"/>
      <c r="U79" s="560"/>
      <c r="V79" s="560"/>
      <c r="W79" s="560"/>
      <c r="X79" s="560"/>
      <c r="Y79" s="560"/>
      <c r="Z79" s="583"/>
      <c r="AA79" s="559"/>
      <c r="AB79" s="584"/>
      <c r="AC79" s="560"/>
      <c r="AD79" s="560"/>
      <c r="AE79" s="560"/>
      <c r="AF79" s="560"/>
      <c r="AG79" s="560"/>
      <c r="AH79" s="560"/>
      <c r="AI79" s="560"/>
      <c r="AJ79" s="560"/>
      <c r="AK79" s="560"/>
      <c r="AL79" s="585"/>
      <c r="AM79" s="389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9.5" customHeight="1" thickBot="1">
      <c r="A80" s="95" t="s">
        <v>196</v>
      </c>
      <c r="B80" s="95"/>
      <c r="C80" s="95"/>
      <c r="D80" s="95"/>
      <c r="E80" s="416"/>
      <c r="F80" s="416"/>
      <c r="G80" s="634"/>
      <c r="H80" s="655"/>
      <c r="I80" s="456"/>
      <c r="J80" s="666">
        <f>+J37-J78</f>
        <v>-47132.060000000005</v>
      </c>
      <c r="K80" s="578">
        <f>+K37-K78</f>
        <v>-127138.97500000003</v>
      </c>
      <c r="L80" s="666">
        <f>+L37-L78</f>
        <v>1528</v>
      </c>
      <c r="M80" s="690"/>
      <c r="N80" s="377"/>
      <c r="O80" s="530">
        <f t="shared" ref="O80:AX80" si="50">O37-O78</f>
        <v>0</v>
      </c>
      <c r="P80" s="531">
        <f t="shared" si="50"/>
        <v>-52.844999999999999</v>
      </c>
      <c r="Q80" s="531">
        <f t="shared" si="50"/>
        <v>-180.07499999999982</v>
      </c>
      <c r="R80" s="531">
        <f t="shared" si="50"/>
        <v>-990.14999999999964</v>
      </c>
      <c r="S80" s="531">
        <f t="shared" si="50"/>
        <v>-1260.1499999999999</v>
      </c>
      <c r="T80" s="531">
        <f t="shared" si="50"/>
        <v>8856.8499999999985</v>
      </c>
      <c r="U80" s="531">
        <f t="shared" si="50"/>
        <v>-7760.15</v>
      </c>
      <c r="V80" s="531">
        <f t="shared" si="50"/>
        <v>-1260.1499999999999</v>
      </c>
      <c r="W80" s="531">
        <f t="shared" si="50"/>
        <v>-1535.1499999999996</v>
      </c>
      <c r="X80" s="531">
        <f t="shared" si="50"/>
        <v>-935.14999999999964</v>
      </c>
      <c r="Y80" s="531">
        <f t="shared" si="50"/>
        <v>-1335.1499999999996</v>
      </c>
      <c r="Z80" s="97">
        <f t="shared" si="50"/>
        <v>-40679.94</v>
      </c>
      <c r="AA80" s="97">
        <f t="shared" si="50"/>
        <v>2127.6749999999993</v>
      </c>
      <c r="AB80" s="97">
        <f t="shared" si="50"/>
        <v>-10782.25</v>
      </c>
      <c r="AC80" s="97">
        <f t="shared" si="50"/>
        <v>-44495.195000000007</v>
      </c>
      <c r="AD80" s="97">
        <f t="shared" si="50"/>
        <v>2027.125</v>
      </c>
      <c r="AE80" s="97">
        <f t="shared" si="50"/>
        <v>-18550.195</v>
      </c>
      <c r="AF80" s="97">
        <f t="shared" si="50"/>
        <v>-12750.195</v>
      </c>
      <c r="AG80" s="97">
        <f t="shared" si="50"/>
        <v>-9062</v>
      </c>
      <c r="AH80" s="97">
        <f t="shared" si="50"/>
        <v>-7062</v>
      </c>
      <c r="AI80" s="97">
        <f t="shared" si="50"/>
        <v>-24138.195</v>
      </c>
      <c r="AJ80" s="97">
        <f t="shared" si="50"/>
        <v>2803.125</v>
      </c>
      <c r="AK80" s="97">
        <f t="shared" si="50"/>
        <v>-10330.195</v>
      </c>
      <c r="AL80" s="532">
        <f t="shared" si="50"/>
        <v>-8126.1949999999997</v>
      </c>
      <c r="AM80" s="486">
        <f t="shared" si="50"/>
        <v>2003.6000000000004</v>
      </c>
      <c r="AN80" s="97">
        <f t="shared" si="50"/>
        <v>2360.5</v>
      </c>
      <c r="AO80" s="97">
        <f t="shared" si="50"/>
        <v>2360.5</v>
      </c>
      <c r="AP80" s="97">
        <f t="shared" si="50"/>
        <v>2360.5</v>
      </c>
      <c r="AQ80" s="97">
        <f t="shared" si="50"/>
        <v>2360.5</v>
      </c>
      <c r="AR80" s="97">
        <f t="shared" si="50"/>
        <v>2360.5</v>
      </c>
      <c r="AS80" s="97">
        <f t="shared" si="50"/>
        <v>2060.5</v>
      </c>
      <c r="AT80" s="97">
        <f t="shared" si="50"/>
        <v>2060.5</v>
      </c>
      <c r="AU80" s="97">
        <f t="shared" si="50"/>
        <v>2860.5</v>
      </c>
      <c r="AV80" s="97">
        <f t="shared" si="50"/>
        <v>3160.5</v>
      </c>
      <c r="AW80" s="97">
        <f t="shared" si="50"/>
        <v>3160.5</v>
      </c>
      <c r="AX80" s="97">
        <f t="shared" si="50"/>
        <v>-4239.5</v>
      </c>
    </row>
    <row r="81" spans="1:50" ht="19.5" customHeight="1" thickBot="1">
      <c r="A81" s="98"/>
      <c r="B81" s="98"/>
      <c r="C81" s="98"/>
      <c r="D81" s="134"/>
      <c r="E81" s="417"/>
      <c r="F81" s="417"/>
      <c r="G81" s="619"/>
      <c r="H81" s="656"/>
      <c r="I81" s="457"/>
      <c r="J81" s="674"/>
      <c r="K81" s="432"/>
      <c r="L81" s="667"/>
      <c r="M81" s="691"/>
      <c r="N81" s="377"/>
      <c r="O81" s="533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534"/>
      <c r="AB81" s="535"/>
      <c r="AC81" s="487"/>
      <c r="AD81" s="487"/>
      <c r="AE81" s="487"/>
      <c r="AF81" s="487"/>
      <c r="AG81" s="487"/>
      <c r="AH81" s="487"/>
      <c r="AI81" s="487"/>
      <c r="AJ81" s="487"/>
      <c r="AK81" s="487"/>
      <c r="AL81" s="536"/>
      <c r="AM81" s="487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</row>
    <row r="82" spans="1:50" ht="39.75" customHeight="1" thickBot="1">
      <c r="A82" s="219" t="s">
        <v>186</v>
      </c>
      <c r="B82" s="842" t="s">
        <v>28</v>
      </c>
      <c r="C82" s="843"/>
      <c r="D82" s="818">
        <f>+'TdF Equilibré'!D62</f>
        <v>3421.31</v>
      </c>
      <c r="E82" s="641"/>
      <c r="F82" s="418"/>
      <c r="G82" s="631"/>
      <c r="H82" s="420"/>
      <c r="I82" s="458"/>
      <c r="J82" s="675">
        <f>+D82+J80</f>
        <v>-43710.750000000007</v>
      </c>
      <c r="K82" s="433">
        <f>+K80+D82</f>
        <v>-123717.66500000004</v>
      </c>
      <c r="L82" s="668">
        <f>+K82+L80</f>
        <v>-122189.66500000004</v>
      </c>
      <c r="M82" s="692"/>
      <c r="N82" s="449"/>
      <c r="O82" s="537">
        <f>D82+O80</f>
        <v>3421.31</v>
      </c>
      <c r="P82" s="538">
        <f t="shared" ref="P82:AX82" si="51">O82+P80</f>
        <v>3368.4650000000001</v>
      </c>
      <c r="Q82" s="538">
        <f t="shared" si="51"/>
        <v>3188.3900000000003</v>
      </c>
      <c r="R82" s="538">
        <f t="shared" si="51"/>
        <v>2198.2400000000007</v>
      </c>
      <c r="S82" s="538">
        <f t="shared" si="51"/>
        <v>938.09000000000083</v>
      </c>
      <c r="T82" s="538">
        <f t="shared" si="51"/>
        <v>9794.9399999999987</v>
      </c>
      <c r="U82" s="538">
        <f t="shared" si="51"/>
        <v>2034.7899999999991</v>
      </c>
      <c r="V82" s="538">
        <f t="shared" si="51"/>
        <v>774.63999999999919</v>
      </c>
      <c r="W82" s="538">
        <f t="shared" si="51"/>
        <v>-760.51000000000045</v>
      </c>
      <c r="X82" s="538">
        <f t="shared" si="51"/>
        <v>-1695.66</v>
      </c>
      <c r="Y82" s="539">
        <f t="shared" si="51"/>
        <v>-3030.8099999999995</v>
      </c>
      <c r="Z82" s="540">
        <f t="shared" si="51"/>
        <v>-43710.75</v>
      </c>
      <c r="AA82" s="540">
        <f t="shared" si="51"/>
        <v>-41583.074999999997</v>
      </c>
      <c r="AB82" s="540">
        <f t="shared" si="51"/>
        <v>-52365.324999999997</v>
      </c>
      <c r="AC82" s="540">
        <f t="shared" si="51"/>
        <v>-96860.52</v>
      </c>
      <c r="AD82" s="540">
        <f t="shared" si="51"/>
        <v>-94833.395000000004</v>
      </c>
      <c r="AE82" s="540">
        <f t="shared" si="51"/>
        <v>-113383.59</v>
      </c>
      <c r="AF82" s="540">
        <f t="shared" si="51"/>
        <v>-126133.785</v>
      </c>
      <c r="AG82" s="540">
        <f t="shared" si="51"/>
        <v>-135195.785</v>
      </c>
      <c r="AH82" s="540">
        <f t="shared" si="51"/>
        <v>-142257.785</v>
      </c>
      <c r="AI82" s="540">
        <f t="shared" si="51"/>
        <v>-166395.98000000001</v>
      </c>
      <c r="AJ82" s="540">
        <f t="shared" si="51"/>
        <v>-163592.85500000001</v>
      </c>
      <c r="AK82" s="540">
        <f t="shared" si="51"/>
        <v>-173923.05000000002</v>
      </c>
      <c r="AL82" s="541">
        <f t="shared" si="51"/>
        <v>-182049.24500000002</v>
      </c>
      <c r="AM82" s="125">
        <f t="shared" si="51"/>
        <v>-180045.64500000002</v>
      </c>
      <c r="AN82" s="104">
        <f t="shared" si="51"/>
        <v>-177685.14500000002</v>
      </c>
      <c r="AO82" s="104">
        <f t="shared" si="51"/>
        <v>-175324.64500000002</v>
      </c>
      <c r="AP82" s="104">
        <f t="shared" si="51"/>
        <v>-172964.14500000002</v>
      </c>
      <c r="AQ82" s="104">
        <f t="shared" si="51"/>
        <v>-170603.64500000002</v>
      </c>
      <c r="AR82" s="104">
        <f t="shared" si="51"/>
        <v>-168243.14500000002</v>
      </c>
      <c r="AS82" s="104">
        <f t="shared" si="51"/>
        <v>-166182.64500000002</v>
      </c>
      <c r="AT82" s="104">
        <f t="shared" si="51"/>
        <v>-164122.14500000002</v>
      </c>
      <c r="AU82" s="104">
        <f t="shared" si="51"/>
        <v>-161261.64500000002</v>
      </c>
      <c r="AV82" s="104">
        <f t="shared" si="51"/>
        <v>-158101.14500000002</v>
      </c>
      <c r="AW82" s="104">
        <f t="shared" si="51"/>
        <v>-154940.64500000002</v>
      </c>
      <c r="AX82" s="104">
        <f t="shared" si="51"/>
        <v>-159180.14500000002</v>
      </c>
    </row>
    <row r="83" spans="1:50" ht="43.9" hidden="1" customHeight="1">
      <c r="A83" s="844" t="s">
        <v>93</v>
      </c>
      <c r="B83" s="845"/>
      <c r="C83" s="845"/>
      <c r="D83" s="845"/>
      <c r="E83" s="846"/>
      <c r="F83" s="846"/>
      <c r="G83" s="846"/>
      <c r="H83" s="846"/>
      <c r="I83" s="846"/>
      <c r="J83" s="846"/>
      <c r="K83" s="846"/>
      <c r="L83" s="234"/>
      <c r="M83" s="234"/>
      <c r="N83" s="450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2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9.5" hidden="1" customHeight="1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2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9.5" hidden="1" customHeight="1" thickBot="1">
      <c r="A85" s="105" t="s">
        <v>57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2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9.5" hidden="1" customHeight="1" thickBot="1">
      <c r="A86" s="5" t="s">
        <v>58</v>
      </c>
      <c r="B86" s="6"/>
      <c r="C86" s="6"/>
      <c r="D86" s="6"/>
      <c r="E86" s="140"/>
      <c r="F86" s="140"/>
      <c r="G86" s="140"/>
      <c r="H86" s="140"/>
      <c r="I86" s="140"/>
      <c r="J86" s="59"/>
      <c r="K86" s="59"/>
      <c r="L86" s="235"/>
      <c r="M86" s="235"/>
      <c r="N86" s="235"/>
      <c r="O86" s="106">
        <f>O9</f>
        <v>44227</v>
      </c>
      <c r="P86" s="60">
        <f t="shared" ref="P86:AX86" si="52">IF(O86="","",EOMONTH(O86,1))</f>
        <v>44255</v>
      </c>
      <c r="Q86" s="60">
        <f t="shared" si="52"/>
        <v>44286</v>
      </c>
      <c r="R86" s="60">
        <f t="shared" si="52"/>
        <v>44316</v>
      </c>
      <c r="S86" s="60">
        <f t="shared" si="52"/>
        <v>44347</v>
      </c>
      <c r="T86" s="60">
        <f t="shared" si="52"/>
        <v>44377</v>
      </c>
      <c r="U86" s="60">
        <f t="shared" si="52"/>
        <v>44408</v>
      </c>
      <c r="V86" s="60">
        <f t="shared" si="52"/>
        <v>44439</v>
      </c>
      <c r="W86" s="60">
        <f t="shared" si="52"/>
        <v>44469</v>
      </c>
      <c r="X86" s="60">
        <f t="shared" si="52"/>
        <v>44500</v>
      </c>
      <c r="Y86" s="60">
        <f t="shared" si="52"/>
        <v>44530</v>
      </c>
      <c r="Z86" s="61">
        <f t="shared" si="52"/>
        <v>44561</v>
      </c>
      <c r="AA86" s="61">
        <f t="shared" si="52"/>
        <v>44592</v>
      </c>
      <c r="AB86" s="61">
        <f t="shared" si="52"/>
        <v>44620</v>
      </c>
      <c r="AC86" s="61">
        <f t="shared" si="52"/>
        <v>44651</v>
      </c>
      <c r="AD86" s="61">
        <f t="shared" si="52"/>
        <v>44681</v>
      </c>
      <c r="AE86" s="61">
        <f t="shared" si="52"/>
        <v>44712</v>
      </c>
      <c r="AF86" s="61">
        <f t="shared" si="52"/>
        <v>44742</v>
      </c>
      <c r="AG86" s="61">
        <f t="shared" si="52"/>
        <v>44773</v>
      </c>
      <c r="AH86" s="61">
        <f t="shared" si="52"/>
        <v>44804</v>
      </c>
      <c r="AI86" s="61">
        <f t="shared" si="52"/>
        <v>44834</v>
      </c>
      <c r="AJ86" s="61">
        <f t="shared" si="52"/>
        <v>44865</v>
      </c>
      <c r="AK86" s="61">
        <f t="shared" si="52"/>
        <v>44895</v>
      </c>
      <c r="AL86" s="61">
        <f t="shared" si="52"/>
        <v>44926</v>
      </c>
      <c r="AM86" s="61">
        <f t="shared" si="52"/>
        <v>44957</v>
      </c>
      <c r="AN86" s="61">
        <f t="shared" si="52"/>
        <v>44985</v>
      </c>
      <c r="AO86" s="61">
        <f t="shared" si="52"/>
        <v>45016</v>
      </c>
      <c r="AP86" s="61">
        <f t="shared" si="52"/>
        <v>45046</v>
      </c>
      <c r="AQ86" s="61">
        <f t="shared" si="52"/>
        <v>45077</v>
      </c>
      <c r="AR86" s="61">
        <f t="shared" si="52"/>
        <v>45107</v>
      </c>
      <c r="AS86" s="61">
        <f t="shared" si="52"/>
        <v>45138</v>
      </c>
      <c r="AT86" s="61">
        <f t="shared" si="52"/>
        <v>45169</v>
      </c>
      <c r="AU86" s="61">
        <f t="shared" si="52"/>
        <v>45199</v>
      </c>
      <c r="AV86" s="61">
        <f t="shared" si="52"/>
        <v>45230</v>
      </c>
      <c r="AW86" s="61">
        <f t="shared" si="52"/>
        <v>45260</v>
      </c>
      <c r="AX86" s="61">
        <f t="shared" si="52"/>
        <v>45291</v>
      </c>
    </row>
    <row r="87" spans="1:50" ht="19.5" hidden="1" customHeight="1">
      <c r="A87" s="107" t="s">
        <v>59</v>
      </c>
      <c r="B87" s="108"/>
      <c r="C87" s="108"/>
      <c r="D87" s="109"/>
      <c r="E87" s="145"/>
      <c r="F87" s="145"/>
      <c r="G87" s="145"/>
      <c r="H87" s="145"/>
      <c r="I87" s="145"/>
      <c r="J87" s="110"/>
      <c r="K87" s="110"/>
      <c r="L87" s="236"/>
      <c r="M87" s="236"/>
      <c r="N87" s="236"/>
      <c r="O87" s="111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7">
        <v>0</v>
      </c>
      <c r="AA87" s="117">
        <v>0</v>
      </c>
      <c r="AB87" s="117">
        <v>0</v>
      </c>
      <c r="AC87" s="117">
        <v>0</v>
      </c>
      <c r="AD87" s="117">
        <v>0</v>
      </c>
      <c r="AE87" s="117">
        <v>0</v>
      </c>
      <c r="AF87" s="117">
        <v>0</v>
      </c>
      <c r="AG87" s="117">
        <v>0</v>
      </c>
      <c r="AH87" s="117">
        <v>0</v>
      </c>
      <c r="AI87" s="117">
        <v>0</v>
      </c>
      <c r="AJ87" s="117">
        <v>0</v>
      </c>
      <c r="AK87" s="117">
        <v>0</v>
      </c>
      <c r="AL87" s="117">
        <v>0</v>
      </c>
      <c r="AM87" s="117">
        <v>0</v>
      </c>
      <c r="AN87" s="117">
        <v>0</v>
      </c>
      <c r="AO87" s="117">
        <v>0</v>
      </c>
      <c r="AP87" s="117">
        <v>0</v>
      </c>
      <c r="AQ87" s="117">
        <v>0</v>
      </c>
      <c r="AR87" s="117">
        <v>0</v>
      </c>
      <c r="AS87" s="117">
        <v>0</v>
      </c>
      <c r="AT87" s="117">
        <v>0</v>
      </c>
      <c r="AU87" s="117">
        <v>0</v>
      </c>
      <c r="AV87" s="117">
        <v>0</v>
      </c>
      <c r="AW87" s="117">
        <v>0</v>
      </c>
      <c r="AX87" s="117">
        <v>0</v>
      </c>
    </row>
    <row r="88" spans="1:50" ht="19.5" hidden="1" customHeight="1">
      <c r="A88" s="107" t="s">
        <v>60</v>
      </c>
      <c r="B88" s="108"/>
      <c r="C88" s="108"/>
      <c r="D88" s="109"/>
      <c r="E88" s="145"/>
      <c r="F88" s="145"/>
      <c r="G88" s="145"/>
      <c r="H88" s="145"/>
      <c r="I88" s="145"/>
      <c r="J88" s="110"/>
      <c r="K88" s="110"/>
      <c r="L88" s="236"/>
      <c r="M88" s="236"/>
      <c r="N88" s="236"/>
      <c r="O88" s="111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7">
        <v>0</v>
      </c>
      <c r="AA88" s="117">
        <v>0</v>
      </c>
      <c r="AB88" s="117">
        <v>0</v>
      </c>
      <c r="AC88" s="117">
        <v>0</v>
      </c>
      <c r="AD88" s="117">
        <v>0</v>
      </c>
      <c r="AE88" s="117">
        <v>0</v>
      </c>
      <c r="AF88" s="117">
        <v>0</v>
      </c>
      <c r="AG88" s="117">
        <v>0</v>
      </c>
      <c r="AH88" s="117">
        <v>0</v>
      </c>
      <c r="AI88" s="117">
        <v>0</v>
      </c>
      <c r="AJ88" s="117">
        <v>0</v>
      </c>
      <c r="AK88" s="117">
        <v>0</v>
      </c>
      <c r="AL88" s="117">
        <v>0</v>
      </c>
      <c r="AM88" s="117">
        <v>0</v>
      </c>
      <c r="AN88" s="117">
        <v>0</v>
      </c>
      <c r="AO88" s="117">
        <v>0</v>
      </c>
      <c r="AP88" s="117">
        <v>0</v>
      </c>
      <c r="AQ88" s="117">
        <v>0</v>
      </c>
      <c r="AR88" s="117">
        <v>0</v>
      </c>
      <c r="AS88" s="117">
        <v>0</v>
      </c>
      <c r="AT88" s="117">
        <v>0</v>
      </c>
      <c r="AU88" s="117">
        <v>0</v>
      </c>
      <c r="AV88" s="117">
        <v>0</v>
      </c>
      <c r="AW88" s="117">
        <v>0</v>
      </c>
      <c r="AX88" s="117">
        <v>0</v>
      </c>
    </row>
    <row r="89" spans="1:50" ht="19.5" hidden="1" customHeight="1">
      <c r="A89" s="113" t="s">
        <v>61</v>
      </c>
      <c r="B89" s="114"/>
      <c r="C89" s="114"/>
      <c r="D89" s="115"/>
      <c r="E89" s="146"/>
      <c r="F89" s="146"/>
      <c r="G89" s="146"/>
      <c r="H89" s="146"/>
      <c r="I89" s="146"/>
      <c r="J89" s="116"/>
      <c r="K89" s="116"/>
      <c r="L89" s="87"/>
      <c r="M89" s="87"/>
      <c r="N89" s="87"/>
      <c r="O89" s="111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7">
        <v>0</v>
      </c>
      <c r="AA89" s="117">
        <v>0</v>
      </c>
      <c r="AB89" s="117">
        <v>0</v>
      </c>
      <c r="AC89" s="117">
        <v>0</v>
      </c>
      <c r="AD89" s="117">
        <v>0</v>
      </c>
      <c r="AE89" s="117">
        <v>0</v>
      </c>
      <c r="AF89" s="117">
        <v>0</v>
      </c>
      <c r="AG89" s="117">
        <v>0</v>
      </c>
      <c r="AH89" s="117">
        <v>0</v>
      </c>
      <c r="AI89" s="117">
        <v>0</v>
      </c>
      <c r="AJ89" s="117">
        <v>0</v>
      </c>
      <c r="AK89" s="117">
        <v>0</v>
      </c>
      <c r="AL89" s="117">
        <v>0</v>
      </c>
      <c r="AM89" s="117">
        <v>0</v>
      </c>
      <c r="AN89" s="117">
        <v>0</v>
      </c>
      <c r="AO89" s="117">
        <v>0</v>
      </c>
      <c r="AP89" s="117">
        <v>0</v>
      </c>
      <c r="AQ89" s="117">
        <v>0</v>
      </c>
      <c r="AR89" s="117">
        <v>0</v>
      </c>
      <c r="AS89" s="117">
        <v>0</v>
      </c>
      <c r="AT89" s="117">
        <v>0</v>
      </c>
      <c r="AU89" s="117">
        <v>0</v>
      </c>
      <c r="AV89" s="117">
        <v>0</v>
      </c>
      <c r="AW89" s="117">
        <v>0</v>
      </c>
      <c r="AX89" s="117">
        <v>0</v>
      </c>
    </row>
    <row r="90" spans="1:50" ht="19.5" hidden="1" customHeight="1" thickBot="1">
      <c r="A90" s="113" t="s">
        <v>62</v>
      </c>
      <c r="B90" s="114"/>
      <c r="C90" s="114"/>
      <c r="D90" s="115"/>
      <c r="E90" s="146"/>
      <c r="F90" s="146"/>
      <c r="G90" s="146"/>
      <c r="H90" s="146"/>
      <c r="I90" s="146"/>
      <c r="J90" s="116"/>
      <c r="K90" s="116"/>
      <c r="L90" s="87"/>
      <c r="M90" s="87"/>
      <c r="N90" s="87"/>
      <c r="O90" s="111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7">
        <v>0</v>
      </c>
      <c r="AA90" s="117">
        <v>0</v>
      </c>
      <c r="AB90" s="117">
        <v>0</v>
      </c>
      <c r="AC90" s="117">
        <v>0</v>
      </c>
      <c r="AD90" s="117">
        <v>0</v>
      </c>
      <c r="AE90" s="117">
        <v>0</v>
      </c>
      <c r="AF90" s="117">
        <v>0</v>
      </c>
      <c r="AG90" s="117">
        <v>0</v>
      </c>
      <c r="AH90" s="117">
        <v>0</v>
      </c>
      <c r="AI90" s="117">
        <v>0</v>
      </c>
      <c r="AJ90" s="117">
        <v>0</v>
      </c>
      <c r="AK90" s="117">
        <v>0</v>
      </c>
      <c r="AL90" s="117">
        <v>0</v>
      </c>
      <c r="AM90" s="117">
        <v>0</v>
      </c>
      <c r="AN90" s="117">
        <v>0</v>
      </c>
      <c r="AO90" s="117">
        <v>0</v>
      </c>
      <c r="AP90" s="117">
        <v>0</v>
      </c>
      <c r="AQ90" s="117">
        <v>0</v>
      </c>
      <c r="AR90" s="117">
        <v>0</v>
      </c>
      <c r="AS90" s="117">
        <v>0</v>
      </c>
      <c r="AT90" s="117">
        <v>0</v>
      </c>
      <c r="AU90" s="117">
        <v>0</v>
      </c>
      <c r="AV90" s="117">
        <v>0</v>
      </c>
      <c r="AW90" s="117">
        <v>0</v>
      </c>
      <c r="AX90" s="117">
        <v>0</v>
      </c>
    </row>
    <row r="91" spans="1:50" ht="19.5" hidden="1" customHeight="1" thickBot="1">
      <c r="A91" s="118" t="s">
        <v>63</v>
      </c>
      <c r="B91" s="91"/>
      <c r="C91" s="91"/>
      <c r="D91" s="119"/>
      <c r="E91" s="147"/>
      <c r="F91" s="147"/>
      <c r="G91" s="147"/>
      <c r="H91" s="147"/>
      <c r="I91" s="147"/>
      <c r="J91" s="120"/>
      <c r="K91" s="120"/>
      <c r="L91" s="120"/>
      <c r="M91" s="120"/>
      <c r="N91" s="120"/>
      <c r="O91" s="121">
        <f t="shared" ref="O91:AX91" si="53">O87+O88-O89-O90</f>
        <v>0</v>
      </c>
      <c r="P91" s="121">
        <f t="shared" si="53"/>
        <v>0</v>
      </c>
      <c r="Q91" s="121">
        <f t="shared" si="53"/>
        <v>0</v>
      </c>
      <c r="R91" s="121">
        <f t="shared" si="53"/>
        <v>0</v>
      </c>
      <c r="S91" s="121">
        <f t="shared" si="53"/>
        <v>0</v>
      </c>
      <c r="T91" s="121">
        <f t="shared" si="53"/>
        <v>0</v>
      </c>
      <c r="U91" s="121">
        <f t="shared" si="53"/>
        <v>0</v>
      </c>
      <c r="V91" s="121">
        <f t="shared" si="53"/>
        <v>0</v>
      </c>
      <c r="W91" s="121">
        <f t="shared" si="53"/>
        <v>0</v>
      </c>
      <c r="X91" s="121">
        <f t="shared" si="53"/>
        <v>0</v>
      </c>
      <c r="Y91" s="121">
        <f t="shared" si="53"/>
        <v>0</v>
      </c>
      <c r="Z91" s="121">
        <f t="shared" si="53"/>
        <v>0</v>
      </c>
      <c r="AA91" s="121">
        <f t="shared" si="53"/>
        <v>0</v>
      </c>
      <c r="AB91" s="121">
        <f t="shared" si="53"/>
        <v>0</v>
      </c>
      <c r="AC91" s="121">
        <f t="shared" si="53"/>
        <v>0</v>
      </c>
      <c r="AD91" s="121">
        <f t="shared" si="53"/>
        <v>0</v>
      </c>
      <c r="AE91" s="121">
        <f t="shared" si="53"/>
        <v>0</v>
      </c>
      <c r="AF91" s="121">
        <f t="shared" si="53"/>
        <v>0</v>
      </c>
      <c r="AG91" s="121">
        <f t="shared" si="53"/>
        <v>0</v>
      </c>
      <c r="AH91" s="121">
        <f t="shared" si="53"/>
        <v>0</v>
      </c>
      <c r="AI91" s="121">
        <f t="shared" si="53"/>
        <v>0</v>
      </c>
      <c r="AJ91" s="121">
        <f t="shared" si="53"/>
        <v>0</v>
      </c>
      <c r="AK91" s="121">
        <f t="shared" si="53"/>
        <v>0</v>
      </c>
      <c r="AL91" s="121">
        <f t="shared" si="53"/>
        <v>0</v>
      </c>
      <c r="AM91" s="121">
        <f t="shared" si="53"/>
        <v>0</v>
      </c>
      <c r="AN91" s="121">
        <f t="shared" si="53"/>
        <v>0</v>
      </c>
      <c r="AO91" s="121">
        <f t="shared" si="53"/>
        <v>0</v>
      </c>
      <c r="AP91" s="121">
        <f t="shared" si="53"/>
        <v>0</v>
      </c>
      <c r="AQ91" s="121">
        <f t="shared" si="53"/>
        <v>0</v>
      </c>
      <c r="AR91" s="121">
        <f t="shared" si="53"/>
        <v>0</v>
      </c>
      <c r="AS91" s="121">
        <f t="shared" si="53"/>
        <v>0</v>
      </c>
      <c r="AT91" s="121">
        <f t="shared" si="53"/>
        <v>0</v>
      </c>
      <c r="AU91" s="121">
        <f t="shared" si="53"/>
        <v>0</v>
      </c>
      <c r="AV91" s="121">
        <f t="shared" si="53"/>
        <v>0</v>
      </c>
      <c r="AW91" s="121">
        <f t="shared" si="53"/>
        <v>0</v>
      </c>
      <c r="AX91" s="121">
        <f t="shared" si="53"/>
        <v>0</v>
      </c>
    </row>
    <row r="92" spans="1:50" ht="19.5" hidden="1" customHeight="1" thickBot="1">
      <c r="A92" s="118" t="s">
        <v>64</v>
      </c>
      <c r="B92" s="91"/>
      <c r="C92" s="91"/>
      <c r="D92" s="119"/>
      <c r="E92" s="147"/>
      <c r="F92" s="147"/>
      <c r="G92" s="147"/>
      <c r="H92" s="147"/>
      <c r="I92" s="147"/>
      <c r="J92" s="120"/>
      <c r="K92" s="120"/>
      <c r="L92" s="120"/>
      <c r="M92" s="120"/>
      <c r="N92" s="120"/>
      <c r="O92" s="121">
        <f>IF(O87+O88-O89-O90&lt;0,-(O87+O88-O89-O90),0)</f>
        <v>0</v>
      </c>
      <c r="P92" s="122">
        <v>0</v>
      </c>
      <c r="Q92" s="122">
        <v>0</v>
      </c>
      <c r="R92" s="122">
        <v>0</v>
      </c>
      <c r="S92" s="122">
        <v>0</v>
      </c>
      <c r="T92" s="122">
        <v>0</v>
      </c>
      <c r="U92" s="122">
        <v>0</v>
      </c>
      <c r="V92" s="122">
        <v>0</v>
      </c>
      <c r="W92" s="122">
        <v>0</v>
      </c>
      <c r="X92" s="122">
        <v>0</v>
      </c>
      <c r="Y92" s="122">
        <v>0</v>
      </c>
      <c r="Z92" s="123">
        <v>0</v>
      </c>
      <c r="AA92" s="123">
        <v>0</v>
      </c>
      <c r="AB92" s="123">
        <v>0</v>
      </c>
      <c r="AC92" s="123">
        <v>0</v>
      </c>
      <c r="AD92" s="123">
        <v>0</v>
      </c>
      <c r="AE92" s="123">
        <v>0</v>
      </c>
      <c r="AF92" s="123">
        <v>0</v>
      </c>
      <c r="AG92" s="123">
        <v>0</v>
      </c>
      <c r="AH92" s="123">
        <v>0</v>
      </c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</row>
    <row r="93" spans="1:50" ht="19.5" hidden="1" customHeight="1" thickBot="1">
      <c r="A93" s="5" t="s">
        <v>65</v>
      </c>
      <c r="B93" s="54"/>
      <c r="C93" s="54"/>
      <c r="D93" s="620"/>
      <c r="E93" s="148"/>
      <c r="F93" s="148"/>
      <c r="G93" s="148"/>
      <c r="H93" s="148"/>
      <c r="I93" s="148"/>
      <c r="J93" s="125"/>
      <c r="K93" s="125"/>
      <c r="L93" s="125"/>
      <c r="M93" s="125"/>
      <c r="N93" s="125"/>
      <c r="O93" s="104">
        <f t="shared" ref="O93:AX93" si="54">O91</f>
        <v>0</v>
      </c>
      <c r="P93" s="104">
        <f t="shared" si="54"/>
        <v>0</v>
      </c>
      <c r="Q93" s="104">
        <f t="shared" si="54"/>
        <v>0</v>
      </c>
      <c r="R93" s="104">
        <f t="shared" si="54"/>
        <v>0</v>
      </c>
      <c r="S93" s="104">
        <f t="shared" si="54"/>
        <v>0</v>
      </c>
      <c r="T93" s="104">
        <f t="shared" si="54"/>
        <v>0</v>
      </c>
      <c r="U93" s="104">
        <f t="shared" si="54"/>
        <v>0</v>
      </c>
      <c r="V93" s="104">
        <f t="shared" si="54"/>
        <v>0</v>
      </c>
      <c r="W93" s="104">
        <f t="shared" si="54"/>
        <v>0</v>
      </c>
      <c r="X93" s="104">
        <f t="shared" si="54"/>
        <v>0</v>
      </c>
      <c r="Y93" s="104">
        <f t="shared" si="54"/>
        <v>0</v>
      </c>
      <c r="Z93" s="104">
        <f t="shared" si="54"/>
        <v>0</v>
      </c>
      <c r="AA93" s="104">
        <f t="shared" si="54"/>
        <v>0</v>
      </c>
      <c r="AB93" s="104">
        <f t="shared" si="54"/>
        <v>0</v>
      </c>
      <c r="AC93" s="104">
        <f t="shared" si="54"/>
        <v>0</v>
      </c>
      <c r="AD93" s="104">
        <f t="shared" si="54"/>
        <v>0</v>
      </c>
      <c r="AE93" s="104">
        <f t="shared" si="54"/>
        <v>0</v>
      </c>
      <c r="AF93" s="104">
        <f t="shared" si="54"/>
        <v>0</v>
      </c>
      <c r="AG93" s="104">
        <f t="shared" si="54"/>
        <v>0</v>
      </c>
      <c r="AH93" s="104">
        <f t="shared" si="54"/>
        <v>0</v>
      </c>
      <c r="AI93" s="104">
        <f t="shared" si="54"/>
        <v>0</v>
      </c>
      <c r="AJ93" s="104">
        <f t="shared" si="54"/>
        <v>0</v>
      </c>
      <c r="AK93" s="104">
        <f t="shared" si="54"/>
        <v>0</v>
      </c>
      <c r="AL93" s="104">
        <f t="shared" si="54"/>
        <v>0</v>
      </c>
      <c r="AM93" s="104">
        <f t="shared" si="54"/>
        <v>0</v>
      </c>
      <c r="AN93" s="104">
        <f t="shared" si="54"/>
        <v>0</v>
      </c>
      <c r="AO93" s="104">
        <f t="shared" si="54"/>
        <v>0</v>
      </c>
      <c r="AP93" s="104">
        <f t="shared" si="54"/>
        <v>0</v>
      </c>
      <c r="AQ93" s="104">
        <f t="shared" si="54"/>
        <v>0</v>
      </c>
      <c r="AR93" s="104">
        <f t="shared" si="54"/>
        <v>0</v>
      </c>
      <c r="AS93" s="104">
        <f t="shared" si="54"/>
        <v>0</v>
      </c>
      <c r="AT93" s="104">
        <f t="shared" si="54"/>
        <v>0</v>
      </c>
      <c r="AU93" s="104">
        <f t="shared" si="54"/>
        <v>0</v>
      </c>
      <c r="AV93" s="104">
        <f t="shared" si="54"/>
        <v>0</v>
      </c>
      <c r="AW93" s="104">
        <f t="shared" si="54"/>
        <v>0</v>
      </c>
      <c r="AX93" s="104">
        <f t="shared" si="54"/>
        <v>0</v>
      </c>
    </row>
    <row r="94" spans="1:50" ht="39.6" customHeight="1">
      <c r="A94" s="3"/>
      <c r="B94" s="1"/>
      <c r="C94" s="1"/>
      <c r="D94" s="819" t="s">
        <v>225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2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2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2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2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2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2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2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2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2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2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2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2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2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2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2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2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2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2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2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2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2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2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2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2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2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2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2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2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2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2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spans="1:50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spans="1:50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spans="1:50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spans="1:50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spans="1:50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spans="1:50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spans="1:50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spans="1:50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spans="1:50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spans="1:50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spans="1:50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spans="1:50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spans="1:50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1:50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1:50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spans="1:50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spans="1:50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spans="1:50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spans="1:50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spans="1:50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spans="1:50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spans="1:50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spans="1:50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spans="1:50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spans="1:50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spans="1:50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spans="1:50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spans="1:50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spans="1:50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spans="1:50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0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spans="1:50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spans="1:50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spans="1:50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spans="1:50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spans="1:50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spans="1:50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spans="1:50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spans="1:50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spans="1:50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spans="1:50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spans="1:50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spans="1:50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spans="1:50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spans="1:50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spans="1:50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spans="1:50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spans="1:50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spans="1:50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spans="1:50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spans="1:50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spans="1:50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spans="1:50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 spans="1:50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 spans="1:50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spans="1:50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spans="1:50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spans="1:50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spans="1:50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spans="1:50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spans="1:50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1:50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spans="1:50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spans="1:50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spans="1:50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spans="1:50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spans="1:50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spans="1:50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spans="1:50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spans="1:50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spans="1:50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spans="1:50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spans="1:50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spans="1:50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1:50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0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0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spans="1:50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spans="1:50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spans="1:50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spans="1:50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spans="1:50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spans="1:50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spans="1:50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spans="1:50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1:50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1:50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1:50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1:50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1:50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1:50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1:50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1:50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1:50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1:50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1:50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1:50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1:50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1:50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1:50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1:50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1:50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1:50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1:50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1:50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1:50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1:50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1:50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1:50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1:50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1:50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1:50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1:50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1:50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1:50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0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0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1:50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1:50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1:50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1:50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1:50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1:50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1:50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1:50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1:50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1:50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1:50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1:50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1:50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1:50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0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0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1:50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1:50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1:50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1:50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1:50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1:50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1:50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1:50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1:50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1:50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0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1:50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1:50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1:50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1:50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1:50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1:50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1:50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1:50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1:50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1:50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1:50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1:50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1:50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1:50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1:50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1:50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1:50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1:50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1:50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1:50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1:50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1:50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1:50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1:50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1:50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1:50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1:50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1:50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1:50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1:50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1:50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1:50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1:50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1:50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1:50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1:50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1:50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1:50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1:50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1:50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1:50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1:50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1:50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1:50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1:50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1:50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1:50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1:50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1:50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1:50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1:50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1:50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1:50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1:50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1:50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1:50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1:50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1:50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1:50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1:50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1:50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1:50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1:50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1:50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1:50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1:50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1:50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1:50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1:50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1:50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1:50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1:50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1:50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1:50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1:50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1:50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1:50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1:50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1:50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1:50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1:50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1:50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1:50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1:50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1:50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1:50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1:50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1:50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1:50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1:50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1:50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1:50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1:50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1:50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1:50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1:50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1:50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1:50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1:50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:50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:50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:50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:50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:50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:50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:50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:50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:50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:50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:50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:50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:50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:50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:50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:50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:50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:50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:50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:50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:50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:50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0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0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:50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:50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:50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:50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:50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:50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:50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:50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1:50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1:50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1:50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1:50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1:50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1:50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1:50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1:50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1:50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1:50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1:50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1:50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1:50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1:50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1:50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1:50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1:50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1:50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1:50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1:50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 spans="1:50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1:50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1:50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1:50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1:50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1:50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1:50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1:50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1:50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1:50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1:50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1:50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1:50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1:50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1:50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1:50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1:50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1:50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1:50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1:50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1:50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1:50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1:50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1:50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1:50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1:50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1:50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1:50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1:50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1:50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1:50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1:50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1:50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1:50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1:50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1:50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1:50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1:50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1:50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1:50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1:50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 spans="1:50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spans="1:50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spans="1:50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spans="1:50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spans="1:50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spans="1:50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spans="1:50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spans="1:50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spans="1:50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spans="1:50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spans="1:50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spans="1:50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spans="1:50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spans="1:50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spans="1:50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spans="1:50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spans="1:50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spans="1:50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 spans="1:50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spans="1:50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50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spans="1:50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spans="1:50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spans="1:50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spans="1:50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spans="1:50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spans="1:50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spans="1:50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spans="1:50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spans="1:50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spans="1:50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spans="1:50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spans="1:50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 spans="1:50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spans="1:50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50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spans="1:50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spans="1:50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spans="1:50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 spans="1:50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spans="1:50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spans="1:50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 spans="1:50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spans="1:50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spans="1:50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spans="1:50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spans="1:50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spans="1:50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 spans="1:50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spans="1:50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spans="1:50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spans="1:50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spans="1:50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spans="1:50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spans="1:50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spans="1:50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spans="1:50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spans="1:50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spans="1:50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spans="1:50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spans="1:50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spans="1:50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spans="1:50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spans="1:50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spans="1:50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spans="1:50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spans="1:50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spans="1:50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spans="1:50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spans="1:50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spans="1:50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spans="1:50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spans="1:50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spans="1:50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spans="1:50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spans="1:50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spans="1:50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spans="1:50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spans="1:50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spans="1:50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spans="1:50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0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0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spans="1:50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spans="1:50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spans="1:50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spans="1:50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spans="1:50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spans="1:50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spans="1:50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spans="1:50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spans="1:50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spans="1:50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spans="1:50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spans="1:50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spans="1:50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spans="1:50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spans="1:50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spans="1:50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spans="1:50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spans="1:50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spans="1:50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spans="1:50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spans="1:50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spans="1:50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spans="1:50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spans="1:50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spans="1:50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spans="1:50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spans="1:50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spans="1:50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spans="1:50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spans="1:50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spans="1:50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spans="1:50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spans="1:50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spans="1:50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spans="1:50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spans="1:50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spans="1:50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spans="1:50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spans="1:50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spans="1:50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spans="1:50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spans="1:50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spans="1:50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spans="1:50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spans="1:50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spans="1:50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spans="1:50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spans="1:50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0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0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spans="1:50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spans="1:50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spans="1:50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spans="1:50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spans="1:50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spans="1:50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spans="1:50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spans="1:50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spans="1:50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spans="1:50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spans="1:50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spans="1:50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spans="1:50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spans="1:50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spans="1:50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spans="1:50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spans="1:50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spans="1:50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spans="1:50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spans="1:50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spans="1:50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spans="1:50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spans="1:50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spans="1:50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spans="1:50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spans="1:50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spans="1:50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spans="1:50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spans="1:50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spans="1:50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spans="1:50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spans="1:50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spans="1:50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spans="1:50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spans="1:50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spans="1:50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spans="1:50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spans="1:50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spans="1:50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spans="1:50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spans="1:50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spans="1:50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spans="1:50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spans="1:50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spans="1:50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spans="1:50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spans="1:50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spans="1:50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spans="1:50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spans="1:50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spans="1:50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spans="1:50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spans="1:50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spans="1:50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spans="1:50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spans="1:50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spans="1:50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spans="1:50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spans="1:50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spans="1:50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spans="1:50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spans="1:50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spans="1:50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spans="1:50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spans="1:50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spans="1:50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spans="1:50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spans="1:50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spans="1:50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spans="1:50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spans="1:50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spans="1:50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spans="1:50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spans="1:50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spans="1:50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spans="1:50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spans="1:50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spans="1:50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spans="1:50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spans="1:50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spans="1:50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spans="1:50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spans="1:50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spans="1:50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spans="1:50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spans="1:50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spans="1:50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spans="1:50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spans="1:50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spans="1:50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spans="1:50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spans="1:50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spans="1:50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spans="1:50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spans="1:50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spans="1:50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spans="1:50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spans="1:50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spans="1:50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spans="1:50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spans="1:50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spans="1:50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spans="1:50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spans="1:50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spans="1:50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spans="1:50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spans="1:50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spans="1:50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spans="1:50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spans="1:50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spans="1:50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spans="1:50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spans="1:50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spans="1:50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spans="1:50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spans="1:50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spans="1:50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spans="1:50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spans="1:50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spans="1:50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spans="1:50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spans="1:50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spans="1:50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spans="1:50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spans="1:50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spans="1:50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spans="1:50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spans="1:50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spans="1:50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spans="1:50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spans="1:50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spans="1:50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spans="1:50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spans="1:50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spans="1:50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spans="1:50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spans="1:50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spans="1:50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spans="1:50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spans="1:50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spans="1:50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spans="1:50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spans="1:50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spans="1:50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spans="1:50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spans="1:50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spans="1:50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spans="1:50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spans="1:50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spans="1:50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spans="1:50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spans="1:50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spans="1:50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spans="1:50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spans="1:50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spans="1:50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spans="1:50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spans="1:50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spans="1:50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spans="1:50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spans="1:50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spans="1:50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spans="1:50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spans="1:50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spans="1:50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spans="1:50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spans="1:50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spans="1:50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spans="1:50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spans="1:50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spans="1:50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spans="1:50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spans="1:50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spans="1:50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spans="1:50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spans="1:50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spans="1:50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spans="1:50" ht="19.5" customHeight="1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spans="1:50" ht="19.5" customHeight="1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spans="1:50" ht="19.5" customHeight="1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spans="1:50" ht="19.5" customHeight="1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spans="1:50" ht="19.5" customHeight="1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spans="1:50" ht="19.5" customHeight="1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spans="1:50" ht="19.5" customHeight="1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spans="1:50" ht="19.5" customHeight="1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spans="1:50" ht="19.5" customHeight="1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 spans="1:50" ht="19.5" customHeight="1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 spans="1:50" ht="19.5" customHeight="1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 spans="1:50" ht="19.5" customHeight="1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 spans="1:50" ht="19.5" customHeight="1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 spans="1:50" ht="19.5" customHeight="1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2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 spans="1:50" ht="19.5" customHeight="1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2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 spans="1:50" ht="19.5" customHeight="1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2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  <row r="996" spans="1:50" ht="19.5" customHeight="1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2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</row>
  </sheetData>
  <mergeCells count="8">
    <mergeCell ref="F8:H8"/>
    <mergeCell ref="K8:M8"/>
    <mergeCell ref="B50:D50"/>
    <mergeCell ref="B82:C82"/>
    <mergeCell ref="A83:K83"/>
    <mergeCell ref="B47:D47"/>
    <mergeCell ref="B48:D48"/>
    <mergeCell ref="B49:D49"/>
  </mergeCells>
  <pageMargins left="0.7" right="0.7" top="0.75" bottom="0.75" header="0.3" footer="0.3"/>
  <pageSetup paperSize="9" orientation="portrait" r:id="rId1"/>
  <ignoredErrors>
    <ignoredError sqref="J26:L30 J72:L75 L53:L65 L43:L44 O16:AV16 L18:L19 J18:K18 L20 J20:K20 L21 L22:L23 K22 J23:K23 K24:L24 L25 J25:K25 J36:L37 L31 L32 J32:K32 K33:L33 L34 L35 J35:K35 J49:K49 J50 J53:K65 J67:J69 J70:K71 K51" formulaRange="1"/>
    <ignoredError sqref="J16:L16 AB46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G13" sqref="G13"/>
    </sheetView>
  </sheetViews>
  <sheetFormatPr baseColWidth="10"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4"/>
  <sheetViews>
    <sheetView workbookViewId="0">
      <selection activeCell="I18" sqref="I18:I19"/>
    </sheetView>
  </sheetViews>
  <sheetFormatPr baseColWidth="10" defaultRowHeight="14.25"/>
  <cols>
    <col min="2" max="2" width="16.75" customWidth="1"/>
    <col min="3" max="3" width="26" customWidth="1"/>
    <col min="11" max="11" width="3.25" customWidth="1"/>
  </cols>
  <sheetData>
    <row r="4" spans="2:11" ht="18">
      <c r="B4" s="599" t="s">
        <v>209</v>
      </c>
      <c r="C4" s="600"/>
      <c r="D4" s="600"/>
      <c r="E4" s="600"/>
      <c r="F4" s="600"/>
      <c r="G4" s="600"/>
      <c r="H4" s="600"/>
      <c r="I4" s="600"/>
      <c r="J4" s="600"/>
      <c r="K4" s="601"/>
    </row>
    <row r="5" spans="2:11">
      <c r="B5" s="602"/>
      <c r="C5" s="558"/>
      <c r="D5" s="558"/>
      <c r="E5" s="558"/>
      <c r="F5" s="558"/>
      <c r="G5" s="558"/>
      <c r="H5" s="558"/>
      <c r="I5" s="558"/>
      <c r="J5" s="558"/>
      <c r="K5" s="603"/>
    </row>
    <row r="6" spans="2:11" ht="15">
      <c r="B6" s="604" t="s">
        <v>214</v>
      </c>
      <c r="C6" s="605" t="s">
        <v>211</v>
      </c>
      <c r="D6" s="606" t="s">
        <v>219</v>
      </c>
      <c r="E6" s="558"/>
      <c r="F6" s="558"/>
      <c r="G6" s="558"/>
      <c r="H6" s="558"/>
      <c r="I6" s="558"/>
      <c r="J6" s="558"/>
      <c r="K6" s="603"/>
    </row>
    <row r="7" spans="2:11" ht="15">
      <c r="B7" s="604"/>
      <c r="C7" s="605"/>
      <c r="D7" s="558"/>
      <c r="E7" s="558"/>
      <c r="F7" s="558"/>
      <c r="G7" s="558"/>
      <c r="H7" s="558"/>
      <c r="I7" s="558"/>
      <c r="J7" s="558"/>
      <c r="K7" s="603"/>
    </row>
    <row r="8" spans="2:11" ht="15">
      <c r="B8" s="604" t="s">
        <v>215</v>
      </c>
      <c r="C8" s="605" t="s">
        <v>210</v>
      </c>
      <c r="D8" s="606" t="s">
        <v>220</v>
      </c>
      <c r="E8" s="558"/>
      <c r="F8" s="558"/>
      <c r="G8" s="558"/>
      <c r="H8" s="558"/>
      <c r="I8" s="558"/>
      <c r="J8" s="558"/>
      <c r="K8" s="603"/>
    </row>
    <row r="9" spans="2:11" ht="15">
      <c r="B9" s="604"/>
      <c r="C9" s="605"/>
      <c r="D9" s="558"/>
      <c r="E9" s="558"/>
      <c r="F9" s="558"/>
      <c r="G9" s="558"/>
      <c r="H9" s="558"/>
      <c r="I9" s="558"/>
      <c r="J9" s="558"/>
      <c r="K9" s="603"/>
    </row>
    <row r="10" spans="2:11" ht="15">
      <c r="B10" s="604" t="s">
        <v>216</v>
      </c>
      <c r="C10" s="607" t="s">
        <v>212</v>
      </c>
      <c r="D10" s="606" t="s">
        <v>221</v>
      </c>
      <c r="E10" s="558"/>
      <c r="F10" s="558"/>
      <c r="G10" s="558"/>
      <c r="H10" s="558"/>
      <c r="I10" s="558"/>
      <c r="J10" s="558"/>
      <c r="K10" s="603"/>
    </row>
    <row r="11" spans="2:11" ht="15">
      <c r="B11" s="604"/>
      <c r="C11" s="605"/>
      <c r="D11" s="558"/>
      <c r="E11" s="558"/>
      <c r="F11" s="558"/>
      <c r="G11" s="558"/>
      <c r="H11" s="558"/>
      <c r="I11" s="558"/>
      <c r="J11" s="558"/>
      <c r="K11" s="603"/>
    </row>
    <row r="12" spans="2:11" ht="15">
      <c r="B12" s="604" t="s">
        <v>217</v>
      </c>
      <c r="C12" s="607" t="s">
        <v>213</v>
      </c>
      <c r="D12" s="606" t="s">
        <v>222</v>
      </c>
      <c r="E12" s="558"/>
      <c r="F12" s="558"/>
      <c r="G12" s="558"/>
      <c r="H12" s="558"/>
      <c r="I12" s="558"/>
      <c r="J12" s="558"/>
      <c r="K12" s="603"/>
    </row>
    <row r="13" spans="2:11" ht="15">
      <c r="B13" s="608"/>
      <c r="C13" s="609"/>
      <c r="D13" s="610"/>
      <c r="E13" s="610"/>
      <c r="F13" s="610"/>
      <c r="G13" s="610"/>
      <c r="H13" s="610"/>
      <c r="I13" s="610"/>
      <c r="J13" s="610"/>
      <c r="K13" s="611"/>
    </row>
    <row r="14" spans="2:11" ht="15">
      <c r="C14" s="16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K130"/>
  <sheetViews>
    <sheetView topLeftCell="A32" workbookViewId="0">
      <selection activeCell="G11" sqref="G11"/>
    </sheetView>
  </sheetViews>
  <sheetFormatPr baseColWidth="10" defaultColWidth="11" defaultRowHeight="15"/>
  <cols>
    <col min="1" max="1" width="7.125" style="239" customWidth="1"/>
    <col min="2" max="2" width="58.875" style="239" customWidth="1"/>
    <col min="3" max="3" width="6.375" style="239" customWidth="1"/>
    <col min="4" max="4" width="13.625" style="239" customWidth="1"/>
    <col min="5" max="5" width="1.5" style="239" customWidth="1"/>
    <col min="6" max="6" width="13" style="239" hidden="1" customWidth="1"/>
    <col min="7" max="7" width="15.25" style="239" customWidth="1"/>
    <col min="8" max="9" width="13.75" style="239" customWidth="1"/>
    <col min="10" max="16384" width="11" style="239"/>
  </cols>
  <sheetData>
    <row r="1" spans="2:9" ht="15.75" thickBot="1">
      <c r="B1" s="237" t="s">
        <v>28</v>
      </c>
      <c r="C1" s="237"/>
      <c r="D1" s="237"/>
      <c r="E1" s="237"/>
      <c r="F1" s="238" t="s">
        <v>28</v>
      </c>
    </row>
    <row r="2" spans="2:9" ht="15.75" thickBot="1">
      <c r="B2" s="237"/>
      <c r="C2" s="237"/>
      <c r="D2" s="237"/>
      <c r="E2" s="237"/>
    </row>
    <row r="3" spans="2:9" ht="18.75">
      <c r="B3" s="565" t="s">
        <v>115</v>
      </c>
      <c r="C3" s="566"/>
      <c r="D3" s="566"/>
      <c r="E3" s="566"/>
      <c r="F3" s="567"/>
      <c r="G3" s="567"/>
      <c r="H3" s="567"/>
      <c r="I3" s="568"/>
    </row>
    <row r="4" spans="2:9" s="243" customFormat="1" ht="19.5" thickBot="1">
      <c r="B4" s="569" t="s">
        <v>116</v>
      </c>
      <c r="C4" s="570"/>
      <c r="D4" s="570"/>
      <c r="E4" s="570"/>
      <c r="F4" s="571"/>
      <c r="G4" s="571"/>
      <c r="H4" s="571"/>
      <c r="I4" s="572"/>
    </row>
    <row r="5" spans="2:9" s="243" customFormat="1" ht="16.5" thickBot="1">
      <c r="B5" s="169"/>
      <c r="C5" s="169"/>
      <c r="D5" s="169"/>
      <c r="E5" s="345"/>
      <c r="F5" s="242"/>
      <c r="G5" s="242"/>
      <c r="H5" s="242"/>
    </row>
    <row r="6" spans="2:9" s="243" customFormat="1" ht="18.75">
      <c r="B6" s="240"/>
      <c r="C6" s="244"/>
      <c r="D6" s="769" t="s">
        <v>170</v>
      </c>
      <c r="E6" s="360"/>
      <c r="F6" s="720">
        <f>2021</f>
        <v>2021</v>
      </c>
      <c r="G6" s="736">
        <f>2022</f>
        <v>2022</v>
      </c>
      <c r="H6" s="737">
        <f>2023</f>
        <v>2023</v>
      </c>
      <c r="I6" s="738">
        <f>2024</f>
        <v>2024</v>
      </c>
    </row>
    <row r="7" spans="2:9" s="243" customFormat="1">
      <c r="C7" s="246"/>
      <c r="D7" s="770" t="s">
        <v>171</v>
      </c>
      <c r="E7" s="361"/>
      <c r="F7" s="721">
        <v>44561</v>
      </c>
      <c r="G7" s="739">
        <v>44926</v>
      </c>
      <c r="H7" s="247">
        <v>45291</v>
      </c>
      <c r="I7" s="740">
        <v>45657</v>
      </c>
    </row>
    <row r="8" spans="2:9" s="243" customFormat="1" ht="15.75">
      <c r="B8" s="248" t="s">
        <v>117</v>
      </c>
      <c r="C8" s="246"/>
      <c r="D8" s="771" t="s">
        <v>223</v>
      </c>
      <c r="E8" s="362"/>
      <c r="F8" s="722" t="s">
        <v>118</v>
      </c>
      <c r="G8" s="741" t="s">
        <v>118</v>
      </c>
      <c r="H8" s="249" t="s">
        <v>118</v>
      </c>
      <c r="I8" s="742" t="s">
        <v>118</v>
      </c>
    </row>
    <row r="9" spans="2:9" s="243" customFormat="1" ht="16.5" thickBot="1">
      <c r="B9" s="240"/>
      <c r="C9" s="244"/>
      <c r="D9" s="772"/>
      <c r="E9" s="363"/>
      <c r="F9" s="723"/>
      <c r="G9" s="743"/>
      <c r="H9" s="250"/>
      <c r="I9" s="744"/>
    </row>
    <row r="10" spans="2:9" s="243" customFormat="1" ht="16.5" thickBot="1">
      <c r="B10" s="251" t="s">
        <v>119</v>
      </c>
      <c r="C10" s="252"/>
      <c r="D10" s="773"/>
      <c r="E10" s="364"/>
      <c r="F10" s="724">
        <v>13012</v>
      </c>
      <c r="G10" s="745">
        <f>+D62</f>
        <v>3421.31</v>
      </c>
      <c r="H10" s="253">
        <f>+G52</f>
        <v>-131600.66500000001</v>
      </c>
      <c r="I10" s="746">
        <f>+H52</f>
        <v>-130072.66500000001</v>
      </c>
    </row>
    <row r="11" spans="2:9" s="243" customFormat="1" ht="15.75">
      <c r="B11" s="240"/>
      <c r="C11" s="244"/>
      <c r="D11" s="774"/>
      <c r="E11" s="364"/>
      <c r="F11" s="725"/>
      <c r="G11" s="747"/>
      <c r="H11" s="254"/>
      <c r="I11" s="748"/>
    </row>
    <row r="12" spans="2:9" s="243" customFormat="1" ht="15.75">
      <c r="B12" s="267" t="s">
        <v>132</v>
      </c>
      <c r="C12" s="268"/>
      <c r="D12" s="775"/>
      <c r="E12" s="364"/>
      <c r="F12" s="726"/>
      <c r="G12" s="749"/>
      <c r="H12" s="269"/>
      <c r="I12" s="750"/>
    </row>
    <row r="13" spans="2:9" s="243" customFormat="1" ht="15.75">
      <c r="B13" s="241"/>
      <c r="C13" s="258"/>
      <c r="D13" s="776"/>
      <c r="E13" s="346"/>
      <c r="F13" s="727"/>
      <c r="G13" s="751"/>
      <c r="H13" s="259"/>
      <c r="I13" s="752"/>
    </row>
    <row r="14" spans="2:9" s="243" customFormat="1" ht="15.75">
      <c r="B14" s="169" t="s">
        <v>172</v>
      </c>
      <c r="C14" s="258"/>
      <c r="D14" s="776"/>
      <c r="E14" s="346"/>
      <c r="F14" s="727"/>
      <c r="G14" s="751"/>
      <c r="H14" s="259"/>
      <c r="I14" s="752"/>
    </row>
    <row r="15" spans="2:9" s="243" customFormat="1" ht="15.75">
      <c r="B15" s="263" t="s">
        <v>173</v>
      </c>
      <c r="C15" s="258"/>
      <c r="D15" s="776">
        <f>+G15</f>
        <v>51501</v>
      </c>
      <c r="E15" s="346"/>
      <c r="F15" s="727">
        <f>+'1 - Résultats Prévisionnels'!E50</f>
        <v>46445</v>
      </c>
      <c r="G15" s="751">
        <f>+'1 - Résultats Prévisionnels'!F50</f>
        <v>51501</v>
      </c>
      <c r="H15" s="259"/>
      <c r="I15" s="752"/>
    </row>
    <row r="16" spans="2:9" s="243" customFormat="1" ht="15.75">
      <c r="B16" s="263" t="s">
        <v>174</v>
      </c>
      <c r="C16" s="258"/>
      <c r="D16" s="776">
        <f>+G16</f>
        <v>45000</v>
      </c>
      <c r="E16" s="346"/>
      <c r="F16" s="727"/>
      <c r="G16" s="751">
        <f>+'1 - Résultats Prévisionnels'!F49</f>
        <v>45000</v>
      </c>
      <c r="H16" s="259"/>
      <c r="I16" s="752"/>
    </row>
    <row r="17" spans="2:9" s="243" customFormat="1" ht="15.75">
      <c r="B17" s="373" t="s">
        <v>185</v>
      </c>
      <c r="C17" s="258"/>
      <c r="D17" s="776">
        <f>+G17+H17</f>
        <v>30400</v>
      </c>
      <c r="E17" s="346"/>
      <c r="F17" s="727">
        <f>+'1 - Résultats Prévisionnels'!E48</f>
        <v>4000</v>
      </c>
      <c r="G17" s="751">
        <f>+'1 - Résultats Prévisionnels'!F48</f>
        <v>28000</v>
      </c>
      <c r="H17" s="259">
        <f>+'1 - Résultats Prévisionnels'!G48</f>
        <v>2400</v>
      </c>
      <c r="I17" s="752"/>
    </row>
    <row r="18" spans="2:9" s="243" customFormat="1" ht="15.75">
      <c r="B18" s="373" t="s">
        <v>184</v>
      </c>
      <c r="C18" s="258"/>
      <c r="D18" s="776">
        <f>+G18</f>
        <v>33000</v>
      </c>
      <c r="E18" s="346"/>
      <c r="F18" s="727"/>
      <c r="G18" s="751">
        <v>33000</v>
      </c>
      <c r="H18" s="259"/>
      <c r="I18" s="752"/>
    </row>
    <row r="19" spans="2:9" s="243" customFormat="1" ht="15.75">
      <c r="B19" s="241"/>
      <c r="C19" s="258"/>
      <c r="D19" s="776"/>
      <c r="E19" s="346"/>
      <c r="F19" s="727"/>
      <c r="G19" s="751"/>
      <c r="H19" s="259"/>
      <c r="I19" s="752"/>
    </row>
    <row r="20" spans="2:9" s="243" customFormat="1" ht="15.75">
      <c r="B20" s="169" t="s">
        <v>126</v>
      </c>
      <c r="C20" s="260"/>
      <c r="D20" s="776"/>
      <c r="E20" s="346"/>
      <c r="F20" s="728"/>
      <c r="G20" s="753"/>
      <c r="H20" s="261"/>
      <c r="I20" s="754"/>
    </row>
    <row r="21" spans="2:9" s="243" customFormat="1" ht="15.75">
      <c r="B21" s="270" t="s">
        <v>176</v>
      </c>
      <c r="C21" s="271"/>
      <c r="D21" s="777"/>
      <c r="E21" s="346"/>
      <c r="F21" s="729" t="s">
        <v>28</v>
      </c>
      <c r="G21" s="755"/>
      <c r="H21" s="262">
        <v>3000</v>
      </c>
      <c r="I21" s="756"/>
    </row>
    <row r="22" spans="2:9" s="243" customFormat="1" ht="15.75">
      <c r="B22" s="270" t="s">
        <v>175</v>
      </c>
      <c r="C22" s="271"/>
      <c r="D22" s="777"/>
      <c r="E22" s="346"/>
      <c r="F22" s="729" t="s">
        <v>28</v>
      </c>
      <c r="G22" s="755"/>
      <c r="H22" s="262">
        <v>3000</v>
      </c>
      <c r="I22" s="756"/>
    </row>
    <row r="23" spans="2:9" s="243" customFormat="1" ht="15.75">
      <c r="B23" s="241"/>
      <c r="C23" s="258"/>
      <c r="D23" s="776"/>
      <c r="E23" s="346"/>
      <c r="F23" s="727"/>
      <c r="G23" s="751"/>
      <c r="H23" s="259"/>
      <c r="I23" s="752"/>
    </row>
    <row r="24" spans="2:9" s="243" customFormat="1" ht="15.75">
      <c r="B24" s="169" t="s">
        <v>127</v>
      </c>
      <c r="C24" s="260"/>
      <c r="D24" s="776"/>
      <c r="E24" s="346"/>
      <c r="F24" s="728"/>
      <c r="G24" s="753"/>
      <c r="H24" s="261"/>
      <c r="I24" s="754"/>
    </row>
    <row r="25" spans="2:9" s="243" customFormat="1" ht="15.75">
      <c r="B25" s="241" t="s">
        <v>128</v>
      </c>
      <c r="C25" s="258"/>
      <c r="D25" s="776"/>
      <c r="E25" s="346"/>
      <c r="F25" s="728">
        <v>0</v>
      </c>
      <c r="G25" s="753">
        <v>0</v>
      </c>
      <c r="H25" s="261">
        <v>0</v>
      </c>
      <c r="I25" s="754"/>
    </row>
    <row r="26" spans="2:9" s="243" customFormat="1" ht="15.75">
      <c r="B26" s="241"/>
      <c r="C26" s="258"/>
      <c r="D26" s="776"/>
      <c r="E26" s="346"/>
      <c r="F26" s="728"/>
      <c r="G26" s="753"/>
      <c r="H26" s="261"/>
      <c r="I26" s="754"/>
    </row>
    <row r="27" spans="2:9" s="243" customFormat="1" ht="15.75">
      <c r="B27" s="272" t="s">
        <v>163</v>
      </c>
      <c r="C27" s="273" t="s">
        <v>125</v>
      </c>
      <c r="D27" s="778">
        <f>SUM(D13:D26)</f>
        <v>159901</v>
      </c>
      <c r="E27" s="369"/>
      <c r="F27" s="730">
        <f t="shared" ref="F27:H27" si="0">SUM(F13:F26)</f>
        <v>50445</v>
      </c>
      <c r="G27" s="757">
        <f t="shared" si="0"/>
        <v>157501</v>
      </c>
      <c r="H27" s="368">
        <f t="shared" si="0"/>
        <v>8400</v>
      </c>
      <c r="I27" s="758">
        <f t="shared" ref="I27" si="1">SUM(I13:I26)</f>
        <v>0</v>
      </c>
    </row>
    <row r="28" spans="2:9" s="243" customFormat="1" ht="15.75">
      <c r="B28" s="241"/>
      <c r="C28" s="258"/>
      <c r="D28" s="776"/>
      <c r="E28" s="346"/>
      <c r="F28" s="728"/>
      <c r="G28" s="753"/>
      <c r="H28" s="261"/>
      <c r="I28" s="754"/>
    </row>
    <row r="29" spans="2:9" s="243" customFormat="1" ht="15.75">
      <c r="B29" s="240"/>
      <c r="C29" s="244"/>
      <c r="D29" s="774"/>
      <c r="E29" s="364"/>
      <c r="F29" s="725"/>
      <c r="G29" s="747"/>
      <c r="H29" s="254"/>
      <c r="I29" s="748"/>
    </row>
    <row r="30" spans="2:9" s="243" customFormat="1" ht="15.75">
      <c r="B30" s="255" t="s">
        <v>120</v>
      </c>
      <c r="C30" s="256"/>
      <c r="D30" s="779"/>
      <c r="E30" s="364"/>
      <c r="F30" s="731"/>
      <c r="G30" s="759"/>
      <c r="H30" s="257"/>
      <c r="I30" s="760"/>
    </row>
    <row r="31" spans="2:9" s="243" customFormat="1" ht="15.75">
      <c r="B31" s="241"/>
      <c r="C31" s="258"/>
      <c r="D31" s="776"/>
      <c r="E31" s="346"/>
      <c r="F31" s="727"/>
      <c r="G31" s="751"/>
      <c r="H31" s="259"/>
      <c r="I31" s="752"/>
    </row>
    <row r="32" spans="2:9" s="243" customFormat="1" ht="15.75">
      <c r="B32" s="169" t="s">
        <v>177</v>
      </c>
      <c r="C32" s="258"/>
      <c r="D32" s="776"/>
      <c r="E32" s="346"/>
      <c r="F32" s="727"/>
      <c r="G32" s="751"/>
      <c r="H32" s="259"/>
      <c r="I32" s="752"/>
    </row>
    <row r="33" spans="2:11" s="243" customFormat="1" ht="15.75">
      <c r="B33" s="263" t="s">
        <v>28</v>
      </c>
      <c r="C33" s="258"/>
      <c r="D33" s="776" t="s">
        <v>28</v>
      </c>
      <c r="E33" s="346"/>
      <c r="F33" s="727">
        <f>+'1 - Résultats Prévisionnels'!E32</f>
        <v>5000</v>
      </c>
      <c r="G33" s="751" t="s">
        <v>28</v>
      </c>
      <c r="H33" s="259"/>
      <c r="I33" s="752"/>
    </row>
    <row r="34" spans="2:11" s="243" customFormat="1" ht="15.75">
      <c r="B34" s="263" t="s">
        <v>181</v>
      </c>
      <c r="C34" s="258"/>
      <c r="D34" s="776">
        <f>+G34</f>
        <v>0</v>
      </c>
      <c r="E34" s="346"/>
      <c r="F34" s="727">
        <f>+'1 - Résultats Prévisionnels'!E31</f>
        <v>10117</v>
      </c>
      <c r="G34" s="751">
        <f>+'1 - Résultats Prévisionnels'!K31</f>
        <v>0</v>
      </c>
      <c r="H34" s="259"/>
      <c r="I34" s="752"/>
    </row>
    <row r="35" spans="2:11" s="243" customFormat="1" ht="15.75">
      <c r="B35" s="241"/>
      <c r="C35" s="258"/>
      <c r="D35" s="776"/>
      <c r="E35" s="346"/>
      <c r="F35" s="727"/>
      <c r="G35" s="751"/>
      <c r="H35" s="259"/>
      <c r="I35" s="752"/>
    </row>
    <row r="36" spans="2:11" s="243" customFormat="1" ht="15.75">
      <c r="B36" s="169" t="s">
        <v>179</v>
      </c>
      <c r="C36" s="258"/>
      <c r="D36" s="776"/>
      <c r="E36" s="346"/>
      <c r="F36" s="727"/>
      <c r="G36" s="751"/>
      <c r="H36" s="259"/>
      <c r="I36" s="752"/>
    </row>
    <row r="37" spans="2:11" s="243" customFormat="1" ht="15.75">
      <c r="B37" s="263" t="s">
        <v>180</v>
      </c>
      <c r="C37" s="258"/>
      <c r="D37" s="776">
        <v>15000</v>
      </c>
      <c r="E37" s="346"/>
      <c r="F37" s="727"/>
      <c r="G37" s="751">
        <v>15000</v>
      </c>
      <c r="H37" s="259"/>
      <c r="I37" s="752"/>
      <c r="K37" s="389" t="s">
        <v>28</v>
      </c>
    </row>
    <row r="38" spans="2:11" s="243" customFormat="1" ht="15.75">
      <c r="B38" s="241"/>
      <c r="C38" s="258"/>
      <c r="D38" s="776"/>
      <c r="E38" s="346"/>
      <c r="F38" s="727"/>
      <c r="G38" s="751"/>
      <c r="H38" s="259"/>
      <c r="I38" s="752"/>
    </row>
    <row r="39" spans="2:11" s="243" customFormat="1" ht="15.75">
      <c r="B39" s="169" t="s">
        <v>178</v>
      </c>
      <c r="C39" s="258"/>
      <c r="D39" s="776"/>
      <c r="E39" s="346"/>
      <c r="F39" s="727"/>
      <c r="G39" s="751"/>
      <c r="H39" s="259"/>
      <c r="I39" s="752"/>
    </row>
    <row r="40" spans="2:11" s="243" customFormat="1" ht="15.75">
      <c r="B40" s="263" t="s">
        <v>182</v>
      </c>
      <c r="C40" s="258"/>
      <c r="D40" s="776">
        <v>15000</v>
      </c>
      <c r="E40" s="346"/>
      <c r="F40" s="727"/>
      <c r="G40" s="751">
        <v>15000</v>
      </c>
      <c r="H40" s="259"/>
      <c r="I40" s="752"/>
    </row>
    <row r="41" spans="2:11" s="243" customFormat="1" ht="15.75">
      <c r="B41" s="241"/>
      <c r="C41" s="258"/>
      <c r="D41" s="776"/>
      <c r="E41" s="346"/>
      <c r="F41" s="727"/>
      <c r="G41" s="751"/>
      <c r="H41" s="259"/>
      <c r="I41" s="752"/>
    </row>
    <row r="42" spans="2:11" s="243" customFormat="1" ht="15.75">
      <c r="B42" s="169" t="s">
        <v>121</v>
      </c>
      <c r="C42" s="260"/>
      <c r="D42" s="776"/>
      <c r="E42" s="346"/>
      <c r="F42" s="728"/>
      <c r="G42" s="755"/>
      <c r="H42" s="262"/>
      <c r="I42" s="756"/>
    </row>
    <row r="43" spans="2:11" s="243" customFormat="1" ht="15.75">
      <c r="B43" s="379" t="s">
        <v>122</v>
      </c>
      <c r="C43" s="380"/>
      <c r="D43" s="780"/>
      <c r="E43" s="382"/>
      <c r="F43" s="732">
        <f>+'1 - Résultats Prévisionnels'!J77</f>
        <v>-11804.269999999997</v>
      </c>
      <c r="G43" s="761">
        <f>+'1 - Résultats Prévisionnels'!K77</f>
        <v>-7520.9750000000058</v>
      </c>
      <c r="H43" s="383">
        <f>+'1 - Résultats Prévisionnels'!L77</f>
        <v>9928</v>
      </c>
      <c r="I43" s="762">
        <f>+'1 - Résultats Prévisionnels'!N77</f>
        <v>0</v>
      </c>
      <c r="K43" s="596" t="s">
        <v>203</v>
      </c>
    </row>
    <row r="44" spans="2:11" s="243" customFormat="1" ht="15.75">
      <c r="B44" s="263" t="s">
        <v>123</v>
      </c>
      <c r="C44" s="264"/>
      <c r="D44" s="781"/>
      <c r="E44" s="365"/>
      <c r="F44" s="728">
        <v>0</v>
      </c>
      <c r="G44" s="755">
        <v>0</v>
      </c>
      <c r="H44" s="262">
        <v>0</v>
      </c>
      <c r="I44" s="756">
        <v>0</v>
      </c>
    </row>
    <row r="45" spans="2:11" s="243" customFormat="1" ht="15.75">
      <c r="B45" s="241"/>
      <c r="C45" s="258"/>
      <c r="D45" s="776"/>
      <c r="E45" s="346"/>
      <c r="F45" s="728"/>
      <c r="G45" s="753"/>
      <c r="H45" s="261"/>
      <c r="I45" s="754"/>
    </row>
    <row r="46" spans="2:11" s="243" customFormat="1" ht="15.75">
      <c r="B46" s="592" t="s">
        <v>183</v>
      </c>
      <c r="C46" s="593"/>
      <c r="D46" s="782"/>
      <c r="E46" s="594"/>
      <c r="F46" s="733">
        <v>35000</v>
      </c>
      <c r="G46" s="763"/>
      <c r="H46" s="595"/>
      <c r="I46" s="764"/>
      <c r="K46" s="596" t="s">
        <v>204</v>
      </c>
    </row>
    <row r="47" spans="2:11" s="243" customFormat="1" ht="15.75">
      <c r="B47" s="241"/>
      <c r="C47" s="258"/>
      <c r="D47" s="776"/>
      <c r="E47" s="346"/>
      <c r="F47" s="728"/>
      <c r="G47" s="753"/>
      <c r="H47" s="261"/>
      <c r="I47" s="754"/>
    </row>
    <row r="48" spans="2:11" ht="15.75">
      <c r="B48" s="265" t="s">
        <v>124</v>
      </c>
      <c r="C48" s="266" t="s">
        <v>129</v>
      </c>
      <c r="D48" s="783">
        <f>SUM(D33:D47)</f>
        <v>30000</v>
      </c>
      <c r="E48" s="365"/>
      <c r="F48" s="734">
        <f t="shared" ref="F48:H48" si="2">SUM(F33:F47)</f>
        <v>38312.730000000003</v>
      </c>
      <c r="G48" s="765">
        <f t="shared" si="2"/>
        <v>22479.024999999994</v>
      </c>
      <c r="H48" s="371">
        <f t="shared" si="2"/>
        <v>9928</v>
      </c>
      <c r="I48" s="766">
        <f t="shared" ref="I48" si="3">SUM(I33:I47)</f>
        <v>0</v>
      </c>
    </row>
    <row r="49" spans="2:11" ht="15.75">
      <c r="B49" s="241"/>
      <c r="C49" s="258"/>
      <c r="D49" s="776"/>
      <c r="E49" s="346"/>
      <c r="F49" s="727"/>
      <c r="G49" s="751"/>
      <c r="H49" s="259"/>
      <c r="I49" s="752"/>
    </row>
    <row r="50" spans="2:11" ht="15.75">
      <c r="B50" s="274" t="s">
        <v>130</v>
      </c>
      <c r="C50" s="275" t="s">
        <v>164</v>
      </c>
      <c r="D50" s="784">
        <f>+D27-D48</f>
        <v>129901</v>
      </c>
      <c r="E50" s="365"/>
      <c r="F50" s="735">
        <f>+F48-F27</f>
        <v>-12132.269999999997</v>
      </c>
      <c r="G50" s="767">
        <f>+G48-G27</f>
        <v>-135021.97500000001</v>
      </c>
      <c r="H50" s="276">
        <f>+H48-H27</f>
        <v>1528</v>
      </c>
      <c r="I50" s="768">
        <f>+I48-I27</f>
        <v>0</v>
      </c>
    </row>
    <row r="51" spans="2:11" ht="16.5" thickBot="1">
      <c r="B51" s="241"/>
      <c r="C51" s="258"/>
      <c r="D51" s="776"/>
      <c r="E51" s="346"/>
      <c r="F51" s="727"/>
      <c r="G51" s="751"/>
      <c r="H51" s="259"/>
      <c r="I51" s="752"/>
    </row>
    <row r="52" spans="2:11" ht="16.5" thickBot="1">
      <c r="B52" s="251" t="s">
        <v>131</v>
      </c>
      <c r="C52" s="252"/>
      <c r="D52" s="773"/>
      <c r="E52" s="364"/>
      <c r="F52" s="724">
        <f>+F10+F50</f>
        <v>879.7300000000032</v>
      </c>
      <c r="G52" s="745">
        <f>+G10+G50</f>
        <v>-131600.66500000001</v>
      </c>
      <c r="H52" s="253">
        <f>+H10+H50</f>
        <v>-130072.66500000001</v>
      </c>
      <c r="I52" s="746">
        <f>+I10+I50</f>
        <v>-130072.66500000001</v>
      </c>
      <c r="K52" s="597" t="s">
        <v>205</v>
      </c>
    </row>
    <row r="53" spans="2:11" ht="6" customHeight="1" thickBot="1">
      <c r="B53" s="241"/>
      <c r="C53" s="258"/>
      <c r="D53" s="785"/>
      <c r="E53" s="346"/>
      <c r="F53" s="367"/>
      <c r="G53" s="277"/>
      <c r="H53" s="277"/>
    </row>
    <row r="54" spans="2:11" ht="15.75">
      <c r="C54" s="258"/>
      <c r="D54" s="344"/>
      <c r="E54" s="346"/>
    </row>
    <row r="55" spans="2:11" ht="15.75">
      <c r="C55" s="258"/>
      <c r="D55" s="344"/>
      <c r="E55" s="346"/>
    </row>
    <row r="56" spans="2:11" ht="15.75">
      <c r="B56" s="806" t="s">
        <v>231</v>
      </c>
      <c r="C56" s="258"/>
      <c r="D56" s="812"/>
      <c r="E56" s="346"/>
    </row>
    <row r="57" spans="2:11" ht="15.75">
      <c r="C57" s="258"/>
      <c r="D57" s="812"/>
      <c r="E57" s="347"/>
    </row>
    <row r="58" spans="2:11" ht="15.75">
      <c r="B58" s="810" t="s">
        <v>232</v>
      </c>
      <c r="C58" s="811"/>
      <c r="D58" s="813">
        <v>4054.95</v>
      </c>
      <c r="E58" s="808"/>
      <c r="F58" s="810"/>
      <c r="G58" s="810"/>
    </row>
    <row r="59" spans="2:11" ht="15.75">
      <c r="B59" s="810" t="s">
        <v>233</v>
      </c>
      <c r="C59" s="811"/>
      <c r="D59" s="813">
        <v>-666.66</v>
      </c>
      <c r="E59" s="809"/>
      <c r="F59" s="810"/>
      <c r="G59" s="810"/>
    </row>
    <row r="60" spans="2:11" ht="15.75">
      <c r="B60" s="810" t="s">
        <v>234</v>
      </c>
      <c r="C60" s="811"/>
      <c r="D60" s="813">
        <v>13.02</v>
      </c>
      <c r="E60" s="809"/>
      <c r="F60" s="810"/>
      <c r="G60" s="810"/>
    </row>
    <row r="61" spans="2:11" ht="15.75">
      <c r="B61" s="810" t="s">
        <v>235</v>
      </c>
      <c r="C61" s="811"/>
      <c r="D61" s="813">
        <v>20</v>
      </c>
      <c r="E61" s="809"/>
      <c r="F61" s="810"/>
      <c r="G61" s="810"/>
    </row>
    <row r="62" spans="2:11" ht="15.75">
      <c r="B62" s="815" t="s">
        <v>236</v>
      </c>
      <c r="C62" s="816"/>
      <c r="D62" s="817">
        <f>SUM(D58:D61)</f>
        <v>3421.31</v>
      </c>
      <c r="E62" s="809"/>
      <c r="F62" s="810"/>
      <c r="G62" s="810"/>
    </row>
    <row r="63" spans="2:11" ht="15.75">
      <c r="B63" s="810"/>
      <c r="C63" s="811"/>
      <c r="D63" s="813"/>
      <c r="E63" s="809"/>
      <c r="F63" s="810"/>
      <c r="G63" s="810"/>
    </row>
    <row r="64" spans="2:11">
      <c r="C64" s="258"/>
      <c r="D64" s="814"/>
      <c r="E64" s="335"/>
    </row>
    <row r="65" spans="3:5">
      <c r="C65" s="258"/>
      <c r="D65" s="814"/>
      <c r="E65" s="335"/>
    </row>
    <row r="66" spans="3:5">
      <c r="C66" s="258"/>
      <c r="D66" s="814"/>
      <c r="E66" s="335"/>
    </row>
    <row r="67" spans="3:5">
      <c r="C67" s="258"/>
      <c r="D67" s="814"/>
      <c r="E67" s="335"/>
    </row>
    <row r="68" spans="3:5">
      <c r="C68" s="258"/>
      <c r="D68" s="814"/>
      <c r="E68" s="258"/>
    </row>
    <row r="69" spans="3:5">
      <c r="C69" s="258"/>
      <c r="D69" s="807"/>
      <c r="E69" s="258"/>
    </row>
    <row r="70" spans="3:5">
      <c r="C70" s="258"/>
      <c r="D70" s="807"/>
      <c r="E70" s="258"/>
    </row>
    <row r="71" spans="3:5">
      <c r="C71" s="258"/>
      <c r="D71" s="807"/>
      <c r="E71" s="258"/>
    </row>
    <row r="72" spans="3:5">
      <c r="C72" s="258"/>
      <c r="D72" s="807"/>
      <c r="E72" s="258"/>
    </row>
    <row r="73" spans="3:5">
      <c r="C73" s="258"/>
      <c r="D73" s="807"/>
      <c r="E73" s="258"/>
    </row>
    <row r="74" spans="3:5">
      <c r="C74" s="258"/>
      <c r="D74" s="807"/>
      <c r="E74" s="258"/>
    </row>
    <row r="75" spans="3:5">
      <c r="C75" s="258"/>
      <c r="D75" s="807"/>
      <c r="E75" s="258"/>
    </row>
    <row r="76" spans="3:5">
      <c r="C76" s="258"/>
      <c r="D76" s="807"/>
      <c r="E76" s="258"/>
    </row>
    <row r="77" spans="3:5">
      <c r="C77" s="258"/>
      <c r="D77" s="807"/>
      <c r="E77" s="258"/>
    </row>
    <row r="78" spans="3:5">
      <c r="C78" s="258"/>
      <c r="D78" s="807"/>
      <c r="E78" s="258"/>
    </row>
    <row r="79" spans="3:5">
      <c r="C79" s="258"/>
      <c r="D79" s="807"/>
      <c r="E79" s="258"/>
    </row>
    <row r="80" spans="3:5">
      <c r="C80" s="258"/>
      <c r="D80" s="807"/>
      <c r="E80" s="258"/>
    </row>
    <row r="81" spans="3:5">
      <c r="C81" s="258"/>
      <c r="D81" s="258"/>
      <c r="E81" s="258"/>
    </row>
    <row r="82" spans="3:5">
      <c r="C82" s="258"/>
      <c r="D82" s="258"/>
      <c r="E82" s="258"/>
    </row>
    <row r="83" spans="3:5">
      <c r="C83" s="258"/>
      <c r="D83" s="258"/>
      <c r="E83" s="258"/>
    </row>
    <row r="84" spans="3:5">
      <c r="C84" s="258"/>
      <c r="D84" s="258"/>
      <c r="E84" s="258"/>
    </row>
    <row r="85" spans="3:5">
      <c r="C85" s="258"/>
      <c r="D85" s="258"/>
      <c r="E85" s="258"/>
    </row>
    <row r="86" spans="3:5">
      <c r="C86" s="258"/>
      <c r="D86" s="258"/>
      <c r="E86" s="258"/>
    </row>
    <row r="87" spans="3:5">
      <c r="C87" s="258"/>
      <c r="D87" s="258"/>
      <c r="E87" s="258"/>
    </row>
    <row r="88" spans="3:5">
      <c r="C88" s="258"/>
      <c r="D88" s="258"/>
      <c r="E88" s="258"/>
    </row>
    <row r="89" spans="3:5">
      <c r="C89" s="258"/>
      <c r="D89" s="258"/>
      <c r="E89" s="258"/>
    </row>
    <row r="90" spans="3:5">
      <c r="C90" s="258"/>
      <c r="D90" s="258"/>
      <c r="E90" s="258"/>
    </row>
    <row r="91" spans="3:5">
      <c r="C91" s="258"/>
      <c r="D91" s="258"/>
      <c r="E91" s="258"/>
    </row>
    <row r="92" spans="3:5">
      <c r="C92" s="258"/>
      <c r="D92" s="258"/>
      <c r="E92" s="258"/>
    </row>
    <row r="93" spans="3:5">
      <c r="C93" s="258"/>
      <c r="D93" s="258"/>
      <c r="E93" s="258"/>
    </row>
    <row r="94" spans="3:5">
      <c r="C94" s="258"/>
      <c r="D94" s="258"/>
      <c r="E94" s="258"/>
    </row>
    <row r="95" spans="3:5">
      <c r="C95" s="258"/>
      <c r="D95" s="258"/>
      <c r="E95" s="258"/>
    </row>
    <row r="96" spans="3:5">
      <c r="C96" s="258"/>
      <c r="D96" s="258"/>
      <c r="E96" s="258"/>
    </row>
    <row r="97" spans="3:5">
      <c r="C97" s="258"/>
      <c r="D97" s="258"/>
      <c r="E97" s="258"/>
    </row>
    <row r="98" spans="3:5">
      <c r="C98" s="258"/>
      <c r="D98" s="258"/>
      <c r="E98" s="258"/>
    </row>
    <row r="99" spans="3:5">
      <c r="C99" s="258"/>
      <c r="D99" s="258"/>
      <c r="E99" s="258"/>
    </row>
    <row r="100" spans="3:5">
      <c r="C100" s="258"/>
      <c r="D100" s="258"/>
      <c r="E100" s="258"/>
    </row>
    <row r="101" spans="3:5">
      <c r="C101" s="258"/>
      <c r="D101" s="258"/>
      <c r="E101" s="258"/>
    </row>
    <row r="102" spans="3:5">
      <c r="C102" s="258"/>
      <c r="D102" s="258"/>
      <c r="E102" s="258"/>
    </row>
    <row r="103" spans="3:5">
      <c r="C103" s="258"/>
      <c r="D103" s="258"/>
      <c r="E103" s="258"/>
    </row>
    <row r="104" spans="3:5">
      <c r="C104" s="258"/>
      <c r="D104" s="258"/>
      <c r="E104" s="258"/>
    </row>
    <row r="105" spans="3:5">
      <c r="C105" s="258"/>
      <c r="D105" s="258"/>
      <c r="E105" s="258"/>
    </row>
    <row r="106" spans="3:5">
      <c r="C106" s="258"/>
      <c r="D106" s="258"/>
      <c r="E106" s="258"/>
    </row>
    <row r="107" spans="3:5">
      <c r="C107" s="258"/>
      <c r="D107" s="258"/>
      <c r="E107" s="258"/>
    </row>
    <row r="108" spans="3:5">
      <c r="C108" s="258"/>
      <c r="D108" s="258"/>
      <c r="E108" s="258"/>
    </row>
    <row r="109" spans="3:5">
      <c r="C109" s="258"/>
      <c r="D109" s="258"/>
      <c r="E109" s="258"/>
    </row>
    <row r="110" spans="3:5">
      <c r="C110" s="258"/>
      <c r="D110" s="258"/>
      <c r="E110" s="258"/>
    </row>
    <row r="111" spans="3:5">
      <c r="C111" s="258"/>
      <c r="D111" s="258"/>
      <c r="E111" s="258"/>
    </row>
    <row r="112" spans="3:5">
      <c r="C112" s="258"/>
      <c r="D112" s="258"/>
      <c r="E112" s="258"/>
    </row>
    <row r="113" spans="3:5">
      <c r="C113" s="258"/>
      <c r="D113" s="258"/>
      <c r="E113" s="258"/>
    </row>
    <row r="114" spans="3:5">
      <c r="C114" s="258"/>
      <c r="D114" s="258"/>
      <c r="E114" s="258"/>
    </row>
    <row r="115" spans="3:5">
      <c r="C115" s="258"/>
      <c r="D115" s="258"/>
      <c r="E115" s="258"/>
    </row>
    <row r="116" spans="3:5">
      <c r="C116" s="258"/>
      <c r="D116" s="258"/>
      <c r="E116" s="258"/>
    </row>
    <row r="117" spans="3:5">
      <c r="C117" s="258"/>
      <c r="D117" s="258"/>
      <c r="E117" s="258"/>
    </row>
    <row r="118" spans="3:5">
      <c r="C118" s="258"/>
      <c r="D118" s="258"/>
      <c r="E118" s="258"/>
    </row>
    <row r="119" spans="3:5">
      <c r="C119" s="258"/>
      <c r="D119" s="258"/>
      <c r="E119" s="258"/>
    </row>
    <row r="120" spans="3:5">
      <c r="C120" s="258"/>
      <c r="D120" s="258"/>
      <c r="E120" s="258"/>
    </row>
    <row r="121" spans="3:5">
      <c r="C121" s="258"/>
      <c r="D121" s="258"/>
      <c r="E121" s="258"/>
    </row>
    <row r="122" spans="3:5">
      <c r="C122" s="258"/>
      <c r="D122" s="258"/>
      <c r="E122" s="258"/>
    </row>
    <row r="123" spans="3:5">
      <c r="C123" s="258"/>
      <c r="D123" s="258"/>
      <c r="E123" s="258"/>
    </row>
    <row r="124" spans="3:5">
      <c r="C124" s="258"/>
      <c r="D124" s="258"/>
      <c r="E124" s="258"/>
    </row>
    <row r="125" spans="3:5">
      <c r="C125" s="258"/>
      <c r="D125" s="258"/>
      <c r="E125" s="258"/>
    </row>
    <row r="126" spans="3:5">
      <c r="C126" s="258"/>
      <c r="D126" s="258"/>
      <c r="E126" s="258"/>
    </row>
    <row r="127" spans="3:5">
      <c r="C127" s="258"/>
      <c r="D127" s="258"/>
      <c r="E127" s="258"/>
    </row>
    <row r="128" spans="3:5">
      <c r="C128" s="258"/>
      <c r="D128" s="258"/>
      <c r="E128" s="258"/>
    </row>
    <row r="129" spans="3:5">
      <c r="C129" s="258"/>
      <c r="D129" s="258"/>
      <c r="E129" s="258"/>
    </row>
    <row r="130" spans="3:5">
      <c r="C130" s="258"/>
      <c r="D130" s="258"/>
      <c r="E130" s="258"/>
    </row>
  </sheetData>
  <pageMargins left="0.7" right="0.7" top="0.75" bottom="0.75" header="0.3" footer="0.3"/>
  <pageSetup paperSize="9" scale="65" fitToHeight="0" orientation="portrait" r:id="rId1"/>
  <ignoredErrors>
    <ignoredError sqref="D1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K130"/>
  <sheetViews>
    <sheetView workbookViewId="0">
      <selection activeCell="G11" sqref="G11"/>
    </sheetView>
  </sheetViews>
  <sheetFormatPr baseColWidth="10" defaultColWidth="11" defaultRowHeight="15"/>
  <cols>
    <col min="1" max="1" width="7.125" style="239" customWidth="1"/>
    <col min="2" max="2" width="58.875" style="239" customWidth="1"/>
    <col min="3" max="3" width="6.375" style="239" customWidth="1"/>
    <col min="4" max="4" width="13.625" style="239" customWidth="1"/>
    <col min="5" max="5" width="1.5" style="239" customWidth="1"/>
    <col min="6" max="6" width="13" style="239" hidden="1" customWidth="1"/>
    <col min="7" max="7" width="15.25" style="239" customWidth="1"/>
    <col min="8" max="9" width="13.75" style="239" customWidth="1"/>
    <col min="10" max="16384" width="11" style="239"/>
  </cols>
  <sheetData>
    <row r="1" spans="2:9" ht="15.75" thickBot="1">
      <c r="B1" s="237" t="s">
        <v>28</v>
      </c>
      <c r="C1" s="237"/>
      <c r="D1" s="237"/>
      <c r="E1" s="237"/>
      <c r="F1" s="238" t="s">
        <v>28</v>
      </c>
    </row>
    <row r="2" spans="2:9" ht="15.75" thickBot="1">
      <c r="B2" s="237"/>
      <c r="C2" s="237"/>
      <c r="D2" s="237"/>
      <c r="E2" s="237"/>
    </row>
    <row r="3" spans="2:9" ht="18.75">
      <c r="B3" s="565" t="s">
        <v>115</v>
      </c>
      <c r="C3" s="566"/>
      <c r="D3" s="566"/>
      <c r="E3" s="566"/>
      <c r="F3" s="567"/>
      <c r="G3" s="567"/>
      <c r="H3" s="567"/>
      <c r="I3" s="568"/>
    </row>
    <row r="4" spans="2:9" s="243" customFormat="1" ht="19.5" thickBot="1">
      <c r="B4" s="569" t="s">
        <v>218</v>
      </c>
      <c r="C4" s="570"/>
      <c r="D4" s="570"/>
      <c r="E4" s="570"/>
      <c r="F4" s="571"/>
      <c r="G4" s="571"/>
      <c r="H4" s="571"/>
      <c r="I4" s="572"/>
    </row>
    <row r="5" spans="2:9" s="243" customFormat="1" ht="15.75">
      <c r="B5" s="169"/>
      <c r="C5" s="169"/>
      <c r="D5" s="169"/>
      <c r="E5" s="345"/>
      <c r="F5" s="242"/>
      <c r="G5" s="242"/>
      <c r="H5" s="242"/>
    </row>
    <row r="6" spans="2:9" s="243" customFormat="1" ht="18.75">
      <c r="B6" s="240"/>
      <c r="C6" s="244"/>
      <c r="D6" s="331" t="s">
        <v>170</v>
      </c>
      <c r="E6" s="360"/>
      <c r="F6" s="245">
        <v>2021</v>
      </c>
      <c r="G6" s="245">
        <v>2022</v>
      </c>
      <c r="H6" s="348">
        <v>2023</v>
      </c>
      <c r="I6" s="245">
        <f>2024</f>
        <v>2024</v>
      </c>
    </row>
    <row r="7" spans="2:9" s="243" customFormat="1">
      <c r="C7" s="246"/>
      <c r="D7" s="332" t="s">
        <v>171</v>
      </c>
      <c r="E7" s="361"/>
      <c r="F7" s="247">
        <v>44561</v>
      </c>
      <c r="G7" s="247">
        <v>44926</v>
      </c>
      <c r="H7" s="349">
        <v>45291</v>
      </c>
      <c r="I7" s="247">
        <v>45657</v>
      </c>
    </row>
    <row r="8" spans="2:9" s="243" customFormat="1" ht="15.75">
      <c r="B8" s="248" t="s">
        <v>117</v>
      </c>
      <c r="C8" s="246"/>
      <c r="D8" s="333" t="s">
        <v>223</v>
      </c>
      <c r="E8" s="362"/>
      <c r="F8" s="249" t="s">
        <v>118</v>
      </c>
      <c r="G8" s="249" t="s">
        <v>118</v>
      </c>
      <c r="H8" s="350" t="s">
        <v>118</v>
      </c>
      <c r="I8" s="249" t="s">
        <v>118</v>
      </c>
    </row>
    <row r="9" spans="2:9" s="243" customFormat="1" ht="16.5" thickBot="1">
      <c r="B9" s="240"/>
      <c r="C9" s="244"/>
      <c r="D9" s="337"/>
      <c r="E9" s="363"/>
      <c r="F9" s="250"/>
      <c r="G9" s="250"/>
      <c r="H9" s="351"/>
      <c r="I9" s="250"/>
    </row>
    <row r="10" spans="2:9" s="243" customFormat="1" ht="16.5" thickBot="1">
      <c r="B10" s="251" t="s">
        <v>119</v>
      </c>
      <c r="C10" s="252"/>
      <c r="D10" s="719"/>
      <c r="E10" s="364"/>
      <c r="F10" s="253">
        <v>13012</v>
      </c>
      <c r="G10" s="253">
        <f>+'TdF Equilibré'!D62</f>
        <v>3421.31</v>
      </c>
      <c r="H10" s="352">
        <f>+G52</f>
        <v>-131600.66500000001</v>
      </c>
      <c r="I10" s="253">
        <f>+H52</f>
        <v>-130072.66500000001</v>
      </c>
    </row>
    <row r="11" spans="2:9" s="243" customFormat="1" ht="15.75">
      <c r="B11" s="240"/>
      <c r="C11" s="244"/>
      <c r="D11" s="338"/>
      <c r="E11" s="364"/>
      <c r="F11" s="254"/>
      <c r="G11" s="254"/>
      <c r="H11" s="353"/>
      <c r="I11" s="254"/>
    </row>
    <row r="12" spans="2:9" s="243" customFormat="1" ht="15.75">
      <c r="B12" s="267" t="s">
        <v>132</v>
      </c>
      <c r="C12" s="268"/>
      <c r="D12" s="339"/>
      <c r="E12" s="364"/>
      <c r="F12" s="269"/>
      <c r="G12" s="269"/>
      <c r="H12" s="354"/>
      <c r="I12" s="269"/>
    </row>
    <row r="13" spans="2:9" s="243" customFormat="1" ht="15.75">
      <c r="B13" s="241"/>
      <c r="C13" s="258"/>
      <c r="D13" s="340"/>
      <c r="E13" s="346"/>
      <c r="F13" s="259"/>
      <c r="G13" s="259"/>
      <c r="H13" s="355"/>
      <c r="I13" s="259"/>
    </row>
    <row r="14" spans="2:9" s="243" customFormat="1" ht="15.75">
      <c r="B14" s="169" t="s">
        <v>172</v>
      </c>
      <c r="C14" s="258"/>
      <c r="D14" s="340"/>
      <c r="E14" s="346"/>
      <c r="F14" s="259"/>
      <c r="G14" s="259"/>
      <c r="H14" s="355"/>
      <c r="I14" s="259"/>
    </row>
    <row r="15" spans="2:9" s="243" customFormat="1" ht="15.75">
      <c r="B15" s="263" t="s">
        <v>173</v>
      </c>
      <c r="C15" s="258"/>
      <c r="D15" s="340">
        <f>+G15</f>
        <v>51501</v>
      </c>
      <c r="E15" s="346"/>
      <c r="F15" s="259">
        <f>+'1 - Résultats Prévisionnels'!E50</f>
        <v>46445</v>
      </c>
      <c r="G15" s="259">
        <f>+'1 - Résultats Prévisionnels'!F50</f>
        <v>51501</v>
      </c>
      <c r="H15" s="355"/>
      <c r="I15" s="259"/>
    </row>
    <row r="16" spans="2:9" s="243" customFormat="1" ht="15.75">
      <c r="B16" s="263" t="s">
        <v>174</v>
      </c>
      <c r="C16" s="258"/>
      <c r="D16" s="340">
        <f>+G16</f>
        <v>45000</v>
      </c>
      <c r="E16" s="346"/>
      <c r="F16" s="259"/>
      <c r="G16" s="259">
        <f>+'1 - Résultats Prévisionnels'!F49</f>
        <v>45000</v>
      </c>
      <c r="H16" s="355"/>
      <c r="I16" s="259"/>
    </row>
    <row r="17" spans="2:9" s="243" customFormat="1" ht="15.75">
      <c r="B17" s="373" t="s">
        <v>201</v>
      </c>
      <c r="C17" s="258"/>
      <c r="D17" s="340">
        <f>+G17+H17</f>
        <v>30400</v>
      </c>
      <c r="E17" s="346"/>
      <c r="F17" s="259">
        <f>+'1 - Résultats Prévisionnels'!E48</f>
        <v>4000</v>
      </c>
      <c r="G17" s="259">
        <f>+'1 - Résultats Prévisionnels'!F48</f>
        <v>28000</v>
      </c>
      <c r="H17" s="355">
        <f>+'1 - Résultats Prévisionnels'!G48</f>
        <v>2400</v>
      </c>
      <c r="I17" s="259"/>
    </row>
    <row r="18" spans="2:9" s="243" customFormat="1" ht="15.75">
      <c r="B18" s="373" t="s">
        <v>184</v>
      </c>
      <c r="C18" s="258"/>
      <c r="D18" s="340">
        <f>+G18</f>
        <v>33000</v>
      </c>
      <c r="E18" s="346"/>
      <c r="F18" s="259"/>
      <c r="G18" s="259">
        <v>33000</v>
      </c>
      <c r="H18" s="355"/>
      <c r="I18" s="259"/>
    </row>
    <row r="19" spans="2:9" s="243" customFormat="1" ht="15.75">
      <c r="B19" s="241"/>
      <c r="C19" s="258"/>
      <c r="D19" s="340"/>
      <c r="E19" s="346"/>
      <c r="F19" s="259"/>
      <c r="G19" s="259"/>
      <c r="H19" s="355"/>
      <c r="I19" s="259"/>
    </row>
    <row r="20" spans="2:9" s="243" customFormat="1" ht="15.75">
      <c r="B20" s="169" t="s">
        <v>126</v>
      </c>
      <c r="C20" s="260"/>
      <c r="D20" s="340"/>
      <c r="E20" s="346"/>
      <c r="F20" s="261"/>
      <c r="G20" s="261"/>
      <c r="H20" s="356"/>
      <c r="I20" s="261"/>
    </row>
    <row r="21" spans="2:9" s="243" customFormat="1" ht="15.75">
      <c r="B21" s="270" t="s">
        <v>176</v>
      </c>
      <c r="C21" s="271"/>
      <c r="D21" s="341"/>
      <c r="E21" s="346"/>
      <c r="F21" s="262" t="s">
        <v>28</v>
      </c>
      <c r="G21" s="262"/>
      <c r="H21" s="357">
        <v>3000</v>
      </c>
      <c r="I21" s="262"/>
    </row>
    <row r="22" spans="2:9" s="243" customFormat="1" ht="15.75">
      <c r="B22" s="270" t="s">
        <v>175</v>
      </c>
      <c r="C22" s="271"/>
      <c r="D22" s="341"/>
      <c r="E22" s="346"/>
      <c r="F22" s="262" t="s">
        <v>28</v>
      </c>
      <c r="G22" s="262"/>
      <c r="H22" s="357">
        <v>3000</v>
      </c>
      <c r="I22" s="262"/>
    </row>
    <row r="23" spans="2:9" s="243" customFormat="1" ht="15.75">
      <c r="B23" s="241"/>
      <c r="C23" s="258"/>
      <c r="D23" s="340"/>
      <c r="E23" s="346"/>
      <c r="F23" s="259"/>
      <c r="G23" s="259"/>
      <c r="H23" s="355"/>
      <c r="I23" s="259"/>
    </row>
    <row r="24" spans="2:9" s="243" customFormat="1" ht="15.75">
      <c r="B24" s="169" t="s">
        <v>127</v>
      </c>
      <c r="C24" s="260"/>
      <c r="D24" s="340"/>
      <c r="E24" s="346"/>
      <c r="F24" s="261"/>
      <c r="G24" s="261"/>
      <c r="H24" s="356"/>
      <c r="I24" s="261"/>
    </row>
    <row r="25" spans="2:9" s="243" customFormat="1" ht="15.75">
      <c r="B25" s="241" t="s">
        <v>128</v>
      </c>
      <c r="C25" s="258"/>
      <c r="D25" s="340"/>
      <c r="E25" s="346"/>
      <c r="F25" s="261">
        <v>0</v>
      </c>
      <c r="G25" s="261">
        <v>0</v>
      </c>
      <c r="H25" s="356">
        <v>0</v>
      </c>
      <c r="I25" s="261"/>
    </row>
    <row r="26" spans="2:9" s="243" customFormat="1" ht="15.75">
      <c r="B26" s="241"/>
      <c r="C26" s="258"/>
      <c r="D26" s="340"/>
      <c r="E26" s="346"/>
      <c r="F26" s="261"/>
      <c r="G26" s="261"/>
      <c r="H26" s="356"/>
      <c r="I26" s="261"/>
    </row>
    <row r="27" spans="2:9" s="243" customFormat="1" ht="15.75">
      <c r="B27" s="272" t="s">
        <v>163</v>
      </c>
      <c r="C27" s="273" t="s">
        <v>125</v>
      </c>
      <c r="D27" s="368">
        <f>SUM(D13:D26)</f>
        <v>159901</v>
      </c>
      <c r="E27" s="369"/>
      <c r="F27" s="368">
        <f t="shared" ref="F27:I27" si="0">SUM(F13:F26)</f>
        <v>50445</v>
      </c>
      <c r="G27" s="368">
        <f t="shared" si="0"/>
        <v>157501</v>
      </c>
      <c r="H27" s="370">
        <f t="shared" si="0"/>
        <v>8400</v>
      </c>
      <c r="I27" s="368">
        <f t="shared" si="0"/>
        <v>0</v>
      </c>
    </row>
    <row r="28" spans="2:9" s="243" customFormat="1" ht="15.75">
      <c r="B28" s="241"/>
      <c r="C28" s="258"/>
      <c r="D28" s="340"/>
      <c r="E28" s="346"/>
      <c r="F28" s="261"/>
      <c r="G28" s="261"/>
      <c r="H28" s="356"/>
      <c r="I28" s="261"/>
    </row>
    <row r="29" spans="2:9" s="243" customFormat="1" ht="15.75">
      <c r="B29" s="240"/>
      <c r="C29" s="244"/>
      <c r="D29" s="338"/>
      <c r="E29" s="364"/>
      <c r="F29" s="254"/>
      <c r="G29" s="254"/>
      <c r="H29" s="353"/>
      <c r="I29" s="254"/>
    </row>
    <row r="30" spans="2:9" s="243" customFormat="1" ht="15.75">
      <c r="B30" s="255" t="s">
        <v>120</v>
      </c>
      <c r="C30" s="256"/>
      <c r="D30" s="342"/>
      <c r="E30" s="364"/>
      <c r="F30" s="257"/>
      <c r="G30" s="257"/>
      <c r="H30" s="358"/>
      <c r="I30" s="257"/>
    </row>
    <row r="31" spans="2:9" s="243" customFormat="1" ht="15.75">
      <c r="B31" s="241"/>
      <c r="C31" s="258"/>
      <c r="D31" s="340"/>
      <c r="E31" s="346"/>
      <c r="F31" s="259"/>
      <c r="G31" s="259"/>
      <c r="H31" s="355"/>
      <c r="I31" s="259"/>
    </row>
    <row r="32" spans="2:9" s="243" customFormat="1" ht="15.75">
      <c r="B32" s="169" t="s">
        <v>177</v>
      </c>
      <c r="C32" s="258"/>
      <c r="D32" s="340"/>
      <c r="E32" s="346"/>
      <c r="F32" s="259"/>
      <c r="G32" s="259"/>
      <c r="H32" s="355"/>
      <c r="I32" s="259"/>
    </row>
    <row r="33" spans="2:11" s="243" customFormat="1" ht="15.75">
      <c r="B33" s="263" t="s">
        <v>28</v>
      </c>
      <c r="C33" s="258"/>
      <c r="D33" s="340" t="s">
        <v>28</v>
      </c>
      <c r="E33" s="346"/>
      <c r="F33" s="259">
        <f>+'1 - Résultats Prévisionnels'!E32</f>
        <v>5000</v>
      </c>
      <c r="G33" s="259"/>
      <c r="H33" s="355"/>
      <c r="I33" s="259"/>
    </row>
    <row r="34" spans="2:11" s="243" customFormat="1" ht="15.75">
      <c r="B34" s="263" t="s">
        <v>181</v>
      </c>
      <c r="C34" s="258"/>
      <c r="D34" s="340">
        <f>+G34</f>
        <v>0</v>
      </c>
      <c r="E34" s="346"/>
      <c r="F34" s="259">
        <f>+'1 - Résultats Prévisionnels'!E31</f>
        <v>10117</v>
      </c>
      <c r="G34" s="259">
        <f>+'1 - Résultats Prévisionnels'!K31</f>
        <v>0</v>
      </c>
      <c r="H34" s="355"/>
      <c r="I34" s="259"/>
    </row>
    <row r="35" spans="2:11" s="243" customFormat="1" ht="15.75">
      <c r="B35" s="241"/>
      <c r="C35" s="258"/>
      <c r="D35" s="340"/>
      <c r="E35" s="346"/>
      <c r="F35" s="259"/>
      <c r="G35" s="259"/>
      <c r="H35" s="355"/>
      <c r="I35" s="259"/>
    </row>
    <row r="36" spans="2:11" s="243" customFormat="1" ht="15.75">
      <c r="B36" s="169" t="s">
        <v>179</v>
      </c>
      <c r="C36" s="258"/>
      <c r="D36" s="340"/>
      <c r="E36" s="346"/>
      <c r="F36" s="259"/>
      <c r="G36" s="259"/>
      <c r="H36" s="355"/>
      <c r="I36" s="259"/>
    </row>
    <row r="37" spans="2:11" s="243" customFormat="1" ht="15.75">
      <c r="B37" s="263" t="s">
        <v>180</v>
      </c>
      <c r="C37" s="258"/>
      <c r="D37" s="340">
        <v>15000</v>
      </c>
      <c r="E37" s="346"/>
      <c r="F37" s="259"/>
      <c r="G37" s="259">
        <v>15000</v>
      </c>
      <c r="H37" s="355"/>
      <c r="I37" s="259"/>
      <c r="K37" s="389" t="s">
        <v>194</v>
      </c>
    </row>
    <row r="38" spans="2:11" s="243" customFormat="1" ht="15.75">
      <c r="B38" s="241"/>
      <c r="C38" s="258"/>
      <c r="D38" s="340"/>
      <c r="E38" s="346"/>
      <c r="F38" s="259"/>
      <c r="G38" s="259"/>
      <c r="H38" s="355"/>
      <c r="I38" s="259"/>
    </row>
    <row r="39" spans="2:11" s="243" customFormat="1" ht="15.75">
      <c r="B39" s="169" t="s">
        <v>178</v>
      </c>
      <c r="C39" s="258"/>
      <c r="D39" s="340"/>
      <c r="E39" s="346"/>
      <c r="F39" s="259"/>
      <c r="G39" s="259"/>
      <c r="H39" s="355"/>
      <c r="I39" s="259"/>
    </row>
    <row r="40" spans="2:11" s="243" customFormat="1" ht="15.75">
      <c r="B40" s="263" t="s">
        <v>182</v>
      </c>
      <c r="C40" s="258"/>
      <c r="D40" s="340">
        <v>15000</v>
      </c>
      <c r="E40" s="346"/>
      <c r="F40" s="259"/>
      <c r="G40" s="259">
        <v>15000</v>
      </c>
      <c r="H40" s="355"/>
      <c r="I40" s="259"/>
    </row>
    <row r="41" spans="2:11" s="243" customFormat="1" ht="15.75">
      <c r="B41" s="241"/>
      <c r="C41" s="258"/>
      <c r="D41" s="340"/>
      <c r="E41" s="346"/>
      <c r="F41" s="259"/>
      <c r="G41" s="259"/>
      <c r="H41" s="355"/>
      <c r="I41" s="259"/>
    </row>
    <row r="42" spans="2:11" s="243" customFormat="1" ht="15.75">
      <c r="B42" s="169" t="s">
        <v>121</v>
      </c>
      <c r="C42" s="260"/>
      <c r="D42" s="340"/>
      <c r="E42" s="346"/>
      <c r="F42" s="261"/>
      <c r="G42" s="262"/>
      <c r="H42" s="357"/>
      <c r="I42" s="262"/>
    </row>
    <row r="43" spans="2:11" s="243" customFormat="1" ht="15.75">
      <c r="B43" s="379" t="s">
        <v>122</v>
      </c>
      <c r="C43" s="380"/>
      <c r="D43" s="381"/>
      <c r="E43" s="382"/>
      <c r="F43" s="383">
        <f>+'1 - Résultats Prévisionnels'!J77</f>
        <v>-11804.269999999997</v>
      </c>
      <c r="G43" s="383">
        <f>+'1 - Résultats Prévisionnels'!K77</f>
        <v>-7520.9750000000058</v>
      </c>
      <c r="H43" s="384">
        <f>+'1 - Résultats Prévisionnels'!L77</f>
        <v>9928</v>
      </c>
      <c r="I43" s="383">
        <f>+'1 - Résultats Prévisionnels'!N77</f>
        <v>0</v>
      </c>
    </row>
    <row r="44" spans="2:11" s="243" customFormat="1" ht="15.75">
      <c r="B44" s="263" t="s">
        <v>123</v>
      </c>
      <c r="C44" s="264"/>
      <c r="D44" s="343"/>
      <c r="E44" s="365"/>
      <c r="F44" s="261">
        <v>0</v>
      </c>
      <c r="G44" s="262">
        <v>0</v>
      </c>
      <c r="H44" s="357">
        <v>0</v>
      </c>
      <c r="I44" s="262">
        <v>0</v>
      </c>
    </row>
    <row r="45" spans="2:11" s="243" customFormat="1" ht="15.75">
      <c r="B45" s="241"/>
      <c r="C45" s="258"/>
      <c r="D45" s="340"/>
      <c r="E45" s="346"/>
      <c r="F45" s="261"/>
      <c r="G45" s="261"/>
      <c r="H45" s="356"/>
      <c r="I45" s="261"/>
    </row>
    <row r="46" spans="2:11" s="243" customFormat="1" ht="15.75">
      <c r="B46" s="586" t="s">
        <v>183</v>
      </c>
      <c r="C46" s="587"/>
      <c r="D46" s="598" t="s">
        <v>28</v>
      </c>
      <c r="E46" s="588"/>
      <c r="F46" s="589">
        <v>0</v>
      </c>
      <c r="G46" s="589">
        <v>0</v>
      </c>
      <c r="H46" s="590">
        <v>0</v>
      </c>
      <c r="I46" s="595"/>
    </row>
    <row r="47" spans="2:11" s="243" customFormat="1" ht="15.75">
      <c r="B47" s="241"/>
      <c r="C47" s="258"/>
      <c r="D47" s="340"/>
      <c r="E47" s="346"/>
      <c r="F47" s="261"/>
      <c r="G47" s="261"/>
      <c r="H47" s="356"/>
      <c r="I47" s="261"/>
    </row>
    <row r="48" spans="2:11" ht="15.75">
      <c r="B48" s="265" t="s">
        <v>124</v>
      </c>
      <c r="C48" s="266" t="s">
        <v>129</v>
      </c>
      <c r="D48" s="371">
        <f>SUM(D33:D46)</f>
        <v>30000</v>
      </c>
      <c r="E48" s="365"/>
      <c r="F48" s="371">
        <f t="shared" ref="F48:I48" si="1">SUM(F33:F47)</f>
        <v>3312.7300000000032</v>
      </c>
      <c r="G48" s="371">
        <f t="shared" si="1"/>
        <v>22479.024999999994</v>
      </c>
      <c r="H48" s="786">
        <f t="shared" si="1"/>
        <v>9928</v>
      </c>
      <c r="I48" s="371">
        <f t="shared" si="1"/>
        <v>0</v>
      </c>
    </row>
    <row r="49" spans="2:11" ht="15.75">
      <c r="B49" s="241"/>
      <c r="C49" s="258"/>
      <c r="D49" s="340"/>
      <c r="E49" s="346"/>
      <c r="F49" s="259"/>
      <c r="G49" s="259"/>
      <c r="H49" s="355"/>
      <c r="I49" s="259"/>
    </row>
    <row r="50" spans="2:11" ht="15.75">
      <c r="B50" s="274" t="s">
        <v>130</v>
      </c>
      <c r="C50" s="275" t="s">
        <v>164</v>
      </c>
      <c r="D50" s="372">
        <f>+D48-D27</f>
        <v>-129901</v>
      </c>
      <c r="E50" s="365"/>
      <c r="F50" s="276">
        <f>+F48-F27</f>
        <v>-47132.27</v>
      </c>
      <c r="G50" s="276">
        <f>+G48-G27</f>
        <v>-135021.97500000001</v>
      </c>
      <c r="H50" s="359">
        <f>+H48-H27</f>
        <v>1528</v>
      </c>
      <c r="I50" s="276">
        <f>+I48-I27</f>
        <v>0</v>
      </c>
    </row>
    <row r="51" spans="2:11" ht="16.5" thickBot="1">
      <c r="B51" s="241"/>
      <c r="C51" s="258"/>
      <c r="D51" s="340"/>
      <c r="E51" s="346"/>
      <c r="F51" s="259"/>
      <c r="G51" s="259"/>
      <c r="H51" s="355"/>
      <c r="I51" s="259"/>
    </row>
    <row r="52" spans="2:11" ht="16.5" thickBot="1">
      <c r="B52" s="251" t="s">
        <v>131</v>
      </c>
      <c r="C52" s="252"/>
      <c r="D52" s="719"/>
      <c r="E52" s="364"/>
      <c r="F52" s="253">
        <f>+F10+F50</f>
        <v>-34120.269999999997</v>
      </c>
      <c r="G52" s="253">
        <f>+G10+G50</f>
        <v>-131600.66500000001</v>
      </c>
      <c r="H52" s="352">
        <f>+H10+H50</f>
        <v>-130072.66500000001</v>
      </c>
      <c r="I52" s="253">
        <f>+I10+I50</f>
        <v>-130072.66500000001</v>
      </c>
      <c r="K52" s="597" t="s">
        <v>206</v>
      </c>
    </row>
    <row r="53" spans="2:11" ht="6" customHeight="1">
      <c r="B53" s="241"/>
      <c r="C53" s="258"/>
      <c r="D53" s="366"/>
      <c r="E53" s="346"/>
      <c r="F53" s="367"/>
      <c r="G53" s="367"/>
      <c r="H53" s="277"/>
    </row>
    <row r="54" spans="2:11" ht="15.75">
      <c r="C54" s="258"/>
      <c r="D54" s="344"/>
      <c r="E54" s="346"/>
    </row>
    <row r="55" spans="2:11" ht="15.75">
      <c r="C55" s="258"/>
      <c r="D55" s="344"/>
      <c r="E55" s="346"/>
    </row>
    <row r="56" spans="2:11" ht="15.75">
      <c r="C56" s="258"/>
      <c r="D56" s="344"/>
      <c r="E56" s="346"/>
    </row>
    <row r="57" spans="2:11" ht="15.75">
      <c r="C57" s="258"/>
      <c r="D57" s="336"/>
      <c r="E57" s="347"/>
    </row>
    <row r="58" spans="2:11" ht="15.75">
      <c r="C58" s="258"/>
      <c r="D58" s="336"/>
      <c r="E58" s="347"/>
    </row>
    <row r="59" spans="2:11" ht="15.75">
      <c r="C59" s="258"/>
      <c r="D59" s="336"/>
      <c r="E59" s="336"/>
    </row>
    <row r="60" spans="2:11">
      <c r="C60" s="258"/>
      <c r="D60" s="335"/>
      <c r="E60" s="335"/>
    </row>
    <row r="61" spans="2:11">
      <c r="C61" s="258"/>
      <c r="D61" s="335"/>
      <c r="E61" s="335"/>
    </row>
    <row r="62" spans="2:11">
      <c r="C62" s="258"/>
      <c r="D62" s="335"/>
      <c r="E62" s="335"/>
    </row>
    <row r="63" spans="2:11">
      <c r="C63" s="258"/>
      <c r="D63" s="335"/>
      <c r="E63" s="335"/>
    </row>
    <row r="64" spans="2:11">
      <c r="C64" s="258"/>
      <c r="D64" s="335"/>
      <c r="E64" s="335"/>
    </row>
    <row r="65" spans="3:5">
      <c r="C65" s="258"/>
      <c r="D65" s="335"/>
      <c r="E65" s="335"/>
    </row>
    <row r="66" spans="3:5">
      <c r="C66" s="258"/>
      <c r="D66" s="335"/>
      <c r="E66" s="335"/>
    </row>
    <row r="67" spans="3:5">
      <c r="C67" s="258"/>
      <c r="D67" s="335"/>
      <c r="E67" s="335"/>
    </row>
    <row r="68" spans="3:5">
      <c r="C68" s="258"/>
      <c r="D68" s="258"/>
      <c r="E68" s="258"/>
    </row>
    <row r="69" spans="3:5">
      <c r="C69" s="258"/>
      <c r="D69" s="258"/>
      <c r="E69" s="258"/>
    </row>
    <row r="70" spans="3:5">
      <c r="C70" s="258"/>
      <c r="D70" s="258"/>
      <c r="E70" s="258"/>
    </row>
    <row r="71" spans="3:5">
      <c r="C71" s="258"/>
      <c r="D71" s="258"/>
      <c r="E71" s="258"/>
    </row>
    <row r="72" spans="3:5">
      <c r="C72" s="258"/>
      <c r="D72" s="258"/>
      <c r="E72" s="258"/>
    </row>
    <row r="73" spans="3:5">
      <c r="C73" s="258"/>
      <c r="D73" s="258"/>
      <c r="E73" s="258"/>
    </row>
    <row r="74" spans="3:5">
      <c r="C74" s="258"/>
      <c r="D74" s="258"/>
      <c r="E74" s="258"/>
    </row>
    <row r="75" spans="3:5">
      <c r="C75" s="258"/>
      <c r="D75" s="258"/>
      <c r="E75" s="258"/>
    </row>
    <row r="76" spans="3:5">
      <c r="C76" s="258"/>
      <c r="D76" s="258"/>
      <c r="E76" s="258"/>
    </row>
    <row r="77" spans="3:5">
      <c r="C77" s="258"/>
      <c r="D77" s="258"/>
      <c r="E77" s="258"/>
    </row>
    <row r="78" spans="3:5">
      <c r="C78" s="258"/>
      <c r="D78" s="258"/>
      <c r="E78" s="258"/>
    </row>
    <row r="79" spans="3:5">
      <c r="C79" s="258"/>
      <c r="D79" s="258"/>
      <c r="E79" s="258"/>
    </row>
    <row r="80" spans="3:5">
      <c r="C80" s="258"/>
      <c r="D80" s="258"/>
      <c r="E80" s="258"/>
    </row>
    <row r="81" spans="3:5">
      <c r="C81" s="258"/>
      <c r="D81" s="258"/>
      <c r="E81" s="258"/>
    </row>
    <row r="82" spans="3:5">
      <c r="C82" s="258"/>
      <c r="D82" s="258"/>
      <c r="E82" s="258"/>
    </row>
    <row r="83" spans="3:5">
      <c r="C83" s="258"/>
      <c r="D83" s="258"/>
      <c r="E83" s="258"/>
    </row>
    <row r="84" spans="3:5">
      <c r="C84" s="258"/>
      <c r="D84" s="258"/>
      <c r="E84" s="258"/>
    </row>
    <row r="85" spans="3:5">
      <c r="C85" s="258"/>
      <c r="D85" s="258"/>
      <c r="E85" s="258"/>
    </row>
    <row r="86" spans="3:5">
      <c r="C86" s="258"/>
      <c r="D86" s="258"/>
      <c r="E86" s="258"/>
    </row>
    <row r="87" spans="3:5">
      <c r="C87" s="258"/>
      <c r="D87" s="258"/>
      <c r="E87" s="258"/>
    </row>
    <row r="88" spans="3:5">
      <c r="C88" s="258"/>
      <c r="D88" s="258"/>
      <c r="E88" s="258"/>
    </row>
    <row r="89" spans="3:5">
      <c r="C89" s="258"/>
      <c r="D89" s="258"/>
      <c r="E89" s="258"/>
    </row>
    <row r="90" spans="3:5">
      <c r="C90" s="258"/>
      <c r="D90" s="258"/>
      <c r="E90" s="258"/>
    </row>
    <row r="91" spans="3:5">
      <c r="C91" s="258"/>
      <c r="D91" s="258"/>
      <c r="E91" s="258"/>
    </row>
    <row r="92" spans="3:5">
      <c r="C92" s="258"/>
      <c r="D92" s="258"/>
      <c r="E92" s="258"/>
    </row>
    <row r="93" spans="3:5">
      <c r="C93" s="258"/>
      <c r="D93" s="258"/>
      <c r="E93" s="258"/>
    </row>
    <row r="94" spans="3:5">
      <c r="C94" s="258"/>
      <c r="D94" s="258"/>
      <c r="E94" s="258"/>
    </row>
    <row r="95" spans="3:5">
      <c r="C95" s="258"/>
      <c r="D95" s="258"/>
      <c r="E95" s="258"/>
    </row>
    <row r="96" spans="3:5">
      <c r="C96" s="258"/>
      <c r="D96" s="258"/>
      <c r="E96" s="258"/>
    </row>
    <row r="97" spans="3:5">
      <c r="C97" s="258"/>
      <c r="D97" s="258"/>
      <c r="E97" s="258"/>
    </row>
    <row r="98" spans="3:5">
      <c r="C98" s="258"/>
      <c r="D98" s="258"/>
      <c r="E98" s="258"/>
    </row>
    <row r="99" spans="3:5">
      <c r="C99" s="258"/>
      <c r="D99" s="258"/>
      <c r="E99" s="258"/>
    </row>
    <row r="100" spans="3:5">
      <c r="C100" s="258"/>
      <c r="D100" s="258"/>
      <c r="E100" s="258"/>
    </row>
    <row r="101" spans="3:5">
      <c r="C101" s="258"/>
      <c r="D101" s="258"/>
      <c r="E101" s="258"/>
    </row>
    <row r="102" spans="3:5">
      <c r="C102" s="258"/>
      <c r="D102" s="258"/>
      <c r="E102" s="258"/>
    </row>
    <row r="103" spans="3:5">
      <c r="C103" s="258"/>
      <c r="D103" s="258"/>
      <c r="E103" s="258"/>
    </row>
    <row r="104" spans="3:5">
      <c r="C104" s="258"/>
      <c r="D104" s="258"/>
      <c r="E104" s="258"/>
    </row>
    <row r="105" spans="3:5">
      <c r="C105" s="258"/>
      <c r="D105" s="258"/>
      <c r="E105" s="258"/>
    </row>
    <row r="106" spans="3:5">
      <c r="C106" s="258"/>
      <c r="D106" s="258"/>
      <c r="E106" s="258"/>
    </row>
    <row r="107" spans="3:5">
      <c r="C107" s="258"/>
      <c r="D107" s="258"/>
      <c r="E107" s="258"/>
    </row>
    <row r="108" spans="3:5">
      <c r="C108" s="258"/>
      <c r="D108" s="258"/>
      <c r="E108" s="258"/>
    </row>
    <row r="109" spans="3:5">
      <c r="C109" s="258"/>
      <c r="D109" s="258"/>
      <c r="E109" s="258"/>
    </row>
    <row r="110" spans="3:5">
      <c r="C110" s="258"/>
      <c r="D110" s="258"/>
      <c r="E110" s="258"/>
    </row>
    <row r="111" spans="3:5">
      <c r="C111" s="258"/>
      <c r="D111" s="258"/>
      <c r="E111" s="258"/>
    </row>
    <row r="112" spans="3:5">
      <c r="C112" s="258"/>
      <c r="D112" s="258"/>
      <c r="E112" s="258"/>
    </row>
    <row r="113" spans="3:5">
      <c r="C113" s="258"/>
      <c r="D113" s="258"/>
      <c r="E113" s="258"/>
    </row>
    <row r="114" spans="3:5">
      <c r="C114" s="258"/>
      <c r="D114" s="258"/>
      <c r="E114" s="258"/>
    </row>
    <row r="115" spans="3:5">
      <c r="C115" s="258"/>
      <c r="D115" s="258"/>
      <c r="E115" s="258"/>
    </row>
    <row r="116" spans="3:5">
      <c r="C116" s="258"/>
      <c r="D116" s="258"/>
      <c r="E116" s="258"/>
    </row>
    <row r="117" spans="3:5">
      <c r="C117" s="258"/>
      <c r="D117" s="258"/>
      <c r="E117" s="258"/>
    </row>
    <row r="118" spans="3:5">
      <c r="C118" s="258"/>
      <c r="D118" s="258"/>
      <c r="E118" s="258"/>
    </row>
    <row r="119" spans="3:5">
      <c r="C119" s="258"/>
      <c r="D119" s="258"/>
      <c r="E119" s="258"/>
    </row>
    <row r="120" spans="3:5">
      <c r="C120" s="258"/>
      <c r="D120" s="258"/>
      <c r="E120" s="258"/>
    </row>
    <row r="121" spans="3:5">
      <c r="C121" s="258"/>
      <c r="D121" s="258"/>
      <c r="E121" s="258"/>
    </row>
    <row r="122" spans="3:5">
      <c r="C122" s="258"/>
      <c r="D122" s="258"/>
      <c r="E122" s="258"/>
    </row>
    <row r="123" spans="3:5">
      <c r="C123" s="258"/>
      <c r="D123" s="258"/>
      <c r="E123" s="258"/>
    </row>
    <row r="124" spans="3:5">
      <c r="C124" s="258"/>
      <c r="D124" s="258"/>
      <c r="E124" s="258"/>
    </row>
    <row r="125" spans="3:5">
      <c r="C125" s="258"/>
      <c r="D125" s="258"/>
      <c r="E125" s="258"/>
    </row>
    <row r="126" spans="3:5">
      <c r="C126" s="258"/>
      <c r="D126" s="258"/>
      <c r="E126" s="258"/>
    </row>
    <row r="127" spans="3:5">
      <c r="C127" s="258"/>
      <c r="D127" s="258"/>
      <c r="E127" s="258"/>
    </row>
    <row r="128" spans="3:5">
      <c r="C128" s="258"/>
      <c r="D128" s="258"/>
      <c r="E128" s="258"/>
    </row>
    <row r="129" spans="3:5">
      <c r="C129" s="258"/>
      <c r="D129" s="258"/>
      <c r="E129" s="258"/>
    </row>
    <row r="130" spans="3:5">
      <c r="C130" s="258"/>
      <c r="D130" s="258"/>
      <c r="E130" s="258"/>
    </row>
  </sheetData>
  <pageMargins left="0.7" right="0.7" top="0.75" bottom="0.75" header="0.3" footer="0.3"/>
  <ignoredErrors>
    <ignoredError sqref="D17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BH995"/>
  <sheetViews>
    <sheetView showGridLines="0" topLeftCell="A7" workbookViewId="0">
      <pane xSplit="12" ySplit="3" topLeftCell="M10" activePane="bottomRight" state="frozen"/>
      <selection activeCell="A7" sqref="A7"/>
      <selection pane="topRight" activeCell="I7" sqref="I7"/>
      <selection pane="bottomLeft" activeCell="A10" sqref="A10"/>
      <selection pane="bottomRight" activeCell="BI73" sqref="BI73"/>
    </sheetView>
  </sheetViews>
  <sheetFormatPr baseColWidth="10" defaultColWidth="12.625" defaultRowHeight="15" customHeight="1"/>
  <cols>
    <col min="1" max="1" width="21.375" customWidth="1"/>
    <col min="2" max="2" width="14.125" customWidth="1"/>
    <col min="3" max="3" width="12" customWidth="1"/>
    <col min="4" max="4" width="14" customWidth="1"/>
    <col min="5" max="5" width="11.125" style="127" hidden="1" customWidth="1"/>
    <col min="6" max="6" width="11.125" style="170" customWidth="1"/>
    <col min="7" max="8" width="11" style="170" customWidth="1"/>
    <col min="9" max="9" width="1" style="170" customWidth="1"/>
    <col min="10" max="10" width="11.125" hidden="1" customWidth="1"/>
    <col min="11" max="11" width="11.125" customWidth="1"/>
    <col min="12" max="13" width="11.125" style="170" customWidth="1"/>
    <col min="14" max="14" width="1.375" style="170" customWidth="1"/>
    <col min="15" max="26" width="11.125" hidden="1" customWidth="1"/>
    <col min="27" max="27" width="8.375" hidden="1" customWidth="1"/>
    <col min="28" max="50" width="10" hidden="1" customWidth="1"/>
    <col min="51" max="58" width="0" hidden="1" customWidth="1"/>
    <col min="59" max="59" width="9.5" customWidth="1"/>
  </cols>
  <sheetData>
    <row r="1" spans="1:50" ht="19.5" customHeight="1">
      <c r="A1" s="137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9.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9.5" customHeight="1">
      <c r="A3" s="138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9.5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9.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"/>
      <c r="AB5" s="1"/>
      <c r="AC5" s="1"/>
      <c r="AD5" s="1"/>
      <c r="AE5" s="1"/>
      <c r="AF5" s="1"/>
      <c r="AG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9.5" customHeight="1">
      <c r="A6" s="223" t="s">
        <v>99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42" customHeight="1" thickBot="1">
      <c r="A7" s="226" t="s">
        <v>99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9.5" customHeight="1" thickBot="1">
      <c r="A8" s="227" t="s">
        <v>103</v>
      </c>
      <c r="C8" s="1"/>
      <c r="D8" s="1"/>
      <c r="E8" s="613" t="s">
        <v>28</v>
      </c>
      <c r="F8" s="851" t="s">
        <v>192</v>
      </c>
      <c r="G8" s="852"/>
      <c r="H8" s="853"/>
      <c r="I8" s="389"/>
      <c r="J8" s="698" t="s">
        <v>28</v>
      </c>
      <c r="K8" s="854" t="s">
        <v>193</v>
      </c>
      <c r="L8" s="855"/>
      <c r="M8" s="856"/>
      <c r="N8" s="441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25.15" customHeight="1" thickBot="1">
      <c r="A9" s="5" t="s">
        <v>100</v>
      </c>
      <c r="B9" s="6"/>
      <c r="C9" s="6"/>
      <c r="D9" s="140"/>
      <c r="E9" s="437" t="s">
        <v>187</v>
      </c>
      <c r="F9" s="704" t="s">
        <v>188</v>
      </c>
      <c r="G9" s="465" t="s">
        <v>189</v>
      </c>
      <c r="H9" s="460" t="s">
        <v>224</v>
      </c>
      <c r="I9" s="451"/>
      <c r="J9" s="438">
        <v>2021</v>
      </c>
      <c r="K9" s="714">
        <v>2022</v>
      </c>
      <c r="L9" s="461">
        <v>2023</v>
      </c>
      <c r="M9" s="462">
        <v>2024</v>
      </c>
      <c r="N9" s="442"/>
      <c r="O9" s="421">
        <v>44227</v>
      </c>
      <c r="P9" s="7">
        <v>44248</v>
      </c>
      <c r="Q9" s="8">
        <v>44276</v>
      </c>
      <c r="R9" s="8">
        <v>44307</v>
      </c>
      <c r="S9" s="8">
        <v>44337</v>
      </c>
      <c r="T9" s="8">
        <v>44368</v>
      </c>
      <c r="U9" s="8">
        <v>44398</v>
      </c>
      <c r="V9" s="8">
        <v>44429</v>
      </c>
      <c r="W9" s="8">
        <v>44460</v>
      </c>
      <c r="X9" s="8">
        <v>44490</v>
      </c>
      <c r="Y9" s="7">
        <v>44530</v>
      </c>
      <c r="Z9" s="9" t="s">
        <v>0</v>
      </c>
      <c r="AA9" s="10">
        <v>44218</v>
      </c>
      <c r="AB9" s="10">
        <v>44249</v>
      </c>
      <c r="AC9" s="11">
        <v>44277</v>
      </c>
      <c r="AD9" s="11">
        <v>44308</v>
      </c>
      <c r="AE9" s="11">
        <v>44338</v>
      </c>
      <c r="AF9" s="11">
        <v>44369</v>
      </c>
      <c r="AG9" s="10">
        <v>44399</v>
      </c>
      <c r="AH9" s="9" t="s">
        <v>1</v>
      </c>
      <c r="AI9" s="10">
        <v>44461</v>
      </c>
      <c r="AJ9" s="10">
        <v>44491</v>
      </c>
      <c r="AK9" s="10">
        <v>44522</v>
      </c>
      <c r="AL9" s="9" t="s">
        <v>2</v>
      </c>
      <c r="AM9" s="12">
        <v>44219</v>
      </c>
      <c r="AN9" s="9" t="s">
        <v>3</v>
      </c>
      <c r="AO9" s="11">
        <v>44278</v>
      </c>
      <c r="AP9" s="11">
        <v>44309</v>
      </c>
      <c r="AQ9" s="11">
        <v>44339</v>
      </c>
      <c r="AR9" s="11">
        <v>44370</v>
      </c>
      <c r="AS9" s="10">
        <v>44400</v>
      </c>
      <c r="AT9" s="9" t="s">
        <v>4</v>
      </c>
      <c r="AU9" s="10">
        <v>44462</v>
      </c>
      <c r="AV9" s="10">
        <v>44492</v>
      </c>
      <c r="AW9" s="10">
        <v>44523</v>
      </c>
      <c r="AX9" s="9" t="s">
        <v>5</v>
      </c>
    </row>
    <row r="10" spans="1:50" ht="19.5" customHeight="1">
      <c r="A10" s="173" t="s">
        <v>6</v>
      </c>
      <c r="B10" s="174"/>
      <c r="C10" s="14"/>
      <c r="D10" s="129"/>
      <c r="E10" s="390"/>
      <c r="F10" s="705"/>
      <c r="G10" s="621"/>
      <c r="H10" s="436"/>
      <c r="I10" s="439"/>
      <c r="J10" s="426"/>
      <c r="K10" s="715"/>
      <c r="L10" s="699"/>
      <c r="M10" s="459"/>
      <c r="N10" s="443"/>
      <c r="O10" s="130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  <c r="AA10" s="18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</row>
    <row r="11" spans="1:50" ht="19.5" customHeight="1">
      <c r="A11" s="20" t="s">
        <v>7</v>
      </c>
      <c r="B11" s="21"/>
      <c r="C11" s="21"/>
      <c r="D11" s="149"/>
      <c r="E11" s="391"/>
      <c r="F11" s="391"/>
      <c r="G11" s="375"/>
      <c r="H11" s="392"/>
      <c r="I11" s="439"/>
      <c r="J11" s="670">
        <f t="shared" ref="J11:J38" si="0">SUM(O11:Z11)</f>
        <v>0</v>
      </c>
      <c r="K11" s="429">
        <f>SUM(AA11:AL11)</f>
        <v>0</v>
      </c>
      <c r="L11" s="229">
        <f t="shared" ref="L11:L35" si="1">SUM(AM11:AX11)</f>
        <v>0</v>
      </c>
      <c r="M11" s="459"/>
      <c r="N11" s="443"/>
      <c r="O11" s="130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ht="19.5" customHeight="1">
      <c r="A12" s="13" t="s">
        <v>8</v>
      </c>
      <c r="B12" s="24" t="s">
        <v>9</v>
      </c>
      <c r="C12" s="21"/>
      <c r="D12" s="149"/>
      <c r="E12" s="391"/>
      <c r="F12" s="391"/>
      <c r="G12" s="375"/>
      <c r="H12" s="392"/>
      <c r="I12" s="439"/>
      <c r="J12" s="670">
        <f t="shared" si="0"/>
        <v>0</v>
      </c>
      <c r="K12" s="427">
        <f>SUM(AA12:AL12)</f>
        <v>0</v>
      </c>
      <c r="L12" s="661">
        <f t="shared" si="1"/>
        <v>0</v>
      </c>
      <c r="M12" s="459"/>
      <c r="N12" s="443"/>
      <c r="O12" s="130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ht="19.5" customHeight="1">
      <c r="A13" s="13" t="s">
        <v>198</v>
      </c>
      <c r="B13" s="24" t="s">
        <v>199</v>
      </c>
      <c r="C13" s="149"/>
      <c r="D13" s="149"/>
      <c r="E13" s="391"/>
      <c r="F13" s="706">
        <f>+'2 - Plan de Trésorerie'!F13</f>
        <v>15000</v>
      </c>
      <c r="G13" s="385">
        <f>+'2 - Plan de Trésorerie'!G13</f>
        <v>0</v>
      </c>
      <c r="H13" s="394"/>
      <c r="I13" s="439"/>
      <c r="J13" s="670">
        <f t="shared" si="0"/>
        <v>0</v>
      </c>
      <c r="K13" s="428">
        <f>SUM(AA13:AL13)</f>
        <v>0</v>
      </c>
      <c r="L13" s="659">
        <f t="shared" si="1"/>
        <v>0</v>
      </c>
      <c r="M13" s="679"/>
      <c r="N13" s="443"/>
      <c r="O13" s="130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ht="19.5" customHeight="1" thickBot="1">
      <c r="A14" s="20" t="s">
        <v>10</v>
      </c>
      <c r="B14" s="24" t="s">
        <v>197</v>
      </c>
      <c r="C14" s="21"/>
      <c r="D14" s="142"/>
      <c r="E14" s="393">
        <v>0</v>
      </c>
      <c r="F14" s="706">
        <f>+'2 - Plan de Trésorerie'!F14</f>
        <v>15000</v>
      </c>
      <c r="G14" s="385">
        <f>+'2 - Plan de Trésorerie'!G14</f>
        <v>0</v>
      </c>
      <c r="H14" s="394"/>
      <c r="I14" s="439"/>
      <c r="J14" s="575">
        <f t="shared" si="0"/>
        <v>0</v>
      </c>
      <c r="K14" s="428">
        <v>0</v>
      </c>
      <c r="L14" s="659">
        <f t="shared" si="1"/>
        <v>0</v>
      </c>
      <c r="M14" s="679"/>
      <c r="N14" s="443"/>
      <c r="O14" s="229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8"/>
      <c r="AA14" s="28"/>
      <c r="AB14" s="28">
        <v>15000</v>
      </c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</row>
    <row r="15" spans="1:50" ht="19.5" hidden="1" customHeight="1">
      <c r="A15" s="29" t="s">
        <v>13</v>
      </c>
      <c r="B15" s="26"/>
      <c r="C15" s="26"/>
      <c r="D15" s="142"/>
      <c r="E15" s="393"/>
      <c r="F15" s="393"/>
      <c r="G15" s="385"/>
      <c r="H15" s="394"/>
      <c r="I15" s="439"/>
      <c r="J15" s="576">
        <f t="shared" si="0"/>
        <v>0</v>
      </c>
      <c r="K15" s="428">
        <f>SUM(AA15:AL15)</f>
        <v>0</v>
      </c>
      <c r="L15" s="659">
        <f t="shared" si="1"/>
        <v>0</v>
      </c>
      <c r="M15" s="679"/>
      <c r="N15" s="443"/>
      <c r="O15" s="229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8"/>
      <c r="AA15" s="18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50" ht="19.5" customHeight="1" thickBot="1">
      <c r="A16" s="30" t="s">
        <v>14</v>
      </c>
      <c r="B16" s="135" t="s">
        <v>28</v>
      </c>
      <c r="C16" s="31"/>
      <c r="D16" s="295"/>
      <c r="E16" s="395">
        <f>SUM(E11:E14)</f>
        <v>0</v>
      </c>
      <c r="F16" s="395">
        <f t="shared" ref="F16:G16" si="2">SUM(F11:F14)</f>
        <v>30000</v>
      </c>
      <c r="G16" s="386">
        <f t="shared" si="2"/>
        <v>0</v>
      </c>
      <c r="H16" s="396"/>
      <c r="I16" s="452"/>
      <c r="J16" s="710">
        <f>SUM(J11:J14)</f>
        <v>0</v>
      </c>
      <c r="K16" s="716">
        <f t="shared" ref="K16:L16" si="3">SUM(K11:K14)</f>
        <v>0</v>
      </c>
      <c r="L16" s="700">
        <f t="shared" si="3"/>
        <v>0</v>
      </c>
      <c r="M16" s="717"/>
      <c r="N16" s="444"/>
      <c r="O16" s="422">
        <f t="shared" ref="O16:AX16" si="4">SUM(O10:O15)</f>
        <v>0</v>
      </c>
      <c r="P16" s="33">
        <f t="shared" si="4"/>
        <v>0</v>
      </c>
      <c r="Q16" s="33">
        <f t="shared" si="4"/>
        <v>0</v>
      </c>
      <c r="R16" s="33">
        <f t="shared" si="4"/>
        <v>0</v>
      </c>
      <c r="S16" s="33">
        <f t="shared" si="4"/>
        <v>0</v>
      </c>
      <c r="T16" s="33">
        <f t="shared" si="4"/>
        <v>0</v>
      </c>
      <c r="U16" s="33">
        <f t="shared" si="4"/>
        <v>0</v>
      </c>
      <c r="V16" s="33">
        <f t="shared" si="4"/>
        <v>0</v>
      </c>
      <c r="W16" s="33">
        <f t="shared" si="4"/>
        <v>0</v>
      </c>
      <c r="X16" s="33">
        <f t="shared" si="4"/>
        <v>0</v>
      </c>
      <c r="Y16" s="33">
        <f t="shared" si="4"/>
        <v>0</v>
      </c>
      <c r="Z16" s="34">
        <f t="shared" si="4"/>
        <v>0</v>
      </c>
      <c r="AA16" s="34">
        <f t="shared" si="4"/>
        <v>0</v>
      </c>
      <c r="AB16" s="34">
        <f t="shared" si="4"/>
        <v>15000</v>
      </c>
      <c r="AC16" s="34">
        <f t="shared" si="4"/>
        <v>0</v>
      </c>
      <c r="AD16" s="34">
        <f t="shared" si="4"/>
        <v>0</v>
      </c>
      <c r="AE16" s="34">
        <f t="shared" si="4"/>
        <v>0</v>
      </c>
      <c r="AF16" s="34">
        <f t="shared" si="4"/>
        <v>0</v>
      </c>
      <c r="AG16" s="34">
        <f t="shared" si="4"/>
        <v>0</v>
      </c>
      <c r="AH16" s="34">
        <f t="shared" si="4"/>
        <v>0</v>
      </c>
      <c r="AI16" s="34">
        <f t="shared" si="4"/>
        <v>0</v>
      </c>
      <c r="AJ16" s="34">
        <f t="shared" si="4"/>
        <v>0</v>
      </c>
      <c r="AK16" s="34">
        <f t="shared" si="4"/>
        <v>0</v>
      </c>
      <c r="AL16" s="34">
        <f t="shared" si="4"/>
        <v>0</v>
      </c>
      <c r="AM16" s="34">
        <f t="shared" si="4"/>
        <v>0</v>
      </c>
      <c r="AN16" s="34">
        <f t="shared" si="4"/>
        <v>0</v>
      </c>
      <c r="AO16" s="34">
        <f t="shared" si="4"/>
        <v>0</v>
      </c>
      <c r="AP16" s="34">
        <f t="shared" si="4"/>
        <v>0</v>
      </c>
      <c r="AQ16" s="34">
        <f t="shared" si="4"/>
        <v>0</v>
      </c>
      <c r="AR16" s="34">
        <f t="shared" si="4"/>
        <v>0</v>
      </c>
      <c r="AS16" s="34">
        <f t="shared" si="4"/>
        <v>0</v>
      </c>
      <c r="AT16" s="34">
        <f t="shared" si="4"/>
        <v>0</v>
      </c>
      <c r="AU16" s="34">
        <f t="shared" si="4"/>
        <v>0</v>
      </c>
      <c r="AV16" s="34">
        <f t="shared" si="4"/>
        <v>0</v>
      </c>
      <c r="AW16" s="34">
        <f t="shared" si="4"/>
        <v>0</v>
      </c>
      <c r="AX16" s="34">
        <f t="shared" si="4"/>
        <v>0</v>
      </c>
    </row>
    <row r="17" spans="1:50" ht="19.5" customHeight="1">
      <c r="A17" s="35" t="s">
        <v>15</v>
      </c>
      <c r="B17" s="36" t="s">
        <v>16</v>
      </c>
      <c r="C17" s="14"/>
      <c r="D17" s="129"/>
      <c r="E17" s="391"/>
      <c r="F17" s="391"/>
      <c r="G17" s="375"/>
      <c r="H17" s="392"/>
      <c r="I17" s="439"/>
      <c r="J17" s="492">
        <f t="shared" si="0"/>
        <v>0</v>
      </c>
      <c r="K17" s="427">
        <f t="shared" ref="K17:L38" si="5">SUM(AA17:AL17)</f>
        <v>0</v>
      </c>
      <c r="L17" s="661">
        <f t="shared" si="1"/>
        <v>0</v>
      </c>
      <c r="M17" s="459"/>
      <c r="N17" s="443"/>
      <c r="O17" s="37"/>
      <c r="P17" s="38"/>
      <c r="Q17" s="39"/>
      <c r="R17" s="39"/>
      <c r="S17" s="39"/>
      <c r="T17" s="39"/>
      <c r="U17" s="39"/>
      <c r="V17" s="39"/>
      <c r="W17" s="39"/>
      <c r="X17" s="39"/>
      <c r="Y17" s="39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</row>
    <row r="18" spans="1:50" ht="19.5" customHeight="1">
      <c r="A18" s="175" t="s">
        <v>94</v>
      </c>
      <c r="B18" s="176" t="s">
        <v>107</v>
      </c>
      <c r="C18" s="177"/>
      <c r="D18" s="142"/>
      <c r="E18" s="391"/>
      <c r="F18" s="391"/>
      <c r="G18" s="375"/>
      <c r="H18" s="392"/>
      <c r="I18" s="439"/>
      <c r="J18" s="670">
        <f t="shared" si="0"/>
        <v>0</v>
      </c>
      <c r="K18" s="427">
        <f t="shared" si="5"/>
        <v>5000</v>
      </c>
      <c r="L18" s="661">
        <v>5000</v>
      </c>
      <c r="M18" s="459"/>
      <c r="N18" s="443"/>
      <c r="O18" s="229"/>
      <c r="P18" s="27"/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42">
        <v>0</v>
      </c>
      <c r="X18" s="42">
        <v>0</v>
      </c>
      <c r="Y18" s="42">
        <v>0</v>
      </c>
      <c r="Z18" s="42">
        <v>0</v>
      </c>
      <c r="AA18" s="41">
        <v>200</v>
      </c>
      <c r="AB18" s="41">
        <v>200</v>
      </c>
      <c r="AC18" s="41">
        <v>200</v>
      </c>
      <c r="AD18" s="41">
        <v>200</v>
      </c>
      <c r="AE18" s="41">
        <v>200</v>
      </c>
      <c r="AF18" s="41">
        <v>200</v>
      </c>
      <c r="AG18" s="41">
        <v>0</v>
      </c>
      <c r="AH18" s="41">
        <v>0</v>
      </c>
      <c r="AI18" s="41">
        <v>600</v>
      </c>
      <c r="AJ18" s="41">
        <v>1000</v>
      </c>
      <c r="AK18" s="41">
        <v>1000</v>
      </c>
      <c r="AL18" s="28">
        <v>1200</v>
      </c>
      <c r="AM18" s="41">
        <v>300</v>
      </c>
      <c r="AN18" s="41">
        <v>300</v>
      </c>
      <c r="AO18" s="41">
        <v>300</v>
      </c>
      <c r="AP18" s="41">
        <v>300</v>
      </c>
      <c r="AQ18" s="41">
        <v>300</v>
      </c>
      <c r="AR18" s="41">
        <v>300</v>
      </c>
      <c r="AS18" s="41">
        <v>0</v>
      </c>
      <c r="AT18" s="41">
        <v>0</v>
      </c>
      <c r="AU18" s="41">
        <v>800</v>
      </c>
      <c r="AV18" s="41">
        <v>1100</v>
      </c>
      <c r="AW18" s="41">
        <v>1100</v>
      </c>
      <c r="AX18" s="28">
        <v>1200</v>
      </c>
    </row>
    <row r="19" spans="1:50" s="170" customFormat="1" ht="19.5" customHeight="1">
      <c r="A19" s="175" t="s">
        <v>109</v>
      </c>
      <c r="B19" s="176" t="s">
        <v>108</v>
      </c>
      <c r="C19" s="228"/>
      <c r="D19" s="142"/>
      <c r="E19" s="391"/>
      <c r="F19" s="391"/>
      <c r="G19" s="375"/>
      <c r="H19" s="392"/>
      <c r="I19" s="439"/>
      <c r="J19" s="670"/>
      <c r="K19" s="427">
        <f t="shared" si="5"/>
        <v>50000</v>
      </c>
      <c r="L19" s="661">
        <v>50000</v>
      </c>
      <c r="M19" s="459"/>
      <c r="N19" s="443"/>
      <c r="O19" s="229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41"/>
      <c r="AB19" s="41">
        <v>10000</v>
      </c>
      <c r="AC19" s="41"/>
      <c r="AD19" s="41">
        <v>10000</v>
      </c>
      <c r="AE19" s="41"/>
      <c r="AF19" s="41">
        <v>10000</v>
      </c>
      <c r="AG19" s="41"/>
      <c r="AH19" s="41"/>
      <c r="AI19" s="41">
        <v>10000</v>
      </c>
      <c r="AJ19" s="41">
        <v>10000</v>
      </c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1:50" ht="19.5" customHeight="1">
      <c r="A20" s="175" t="s">
        <v>91</v>
      </c>
      <c r="B20" s="178" t="s">
        <v>77</v>
      </c>
      <c r="C20" s="177"/>
      <c r="D20" s="142"/>
      <c r="E20" s="391"/>
      <c r="F20" s="391"/>
      <c r="G20" s="375"/>
      <c r="H20" s="392"/>
      <c r="I20" s="439"/>
      <c r="J20" s="670">
        <f t="shared" si="0"/>
        <v>0</v>
      </c>
      <c r="K20" s="427">
        <f t="shared" si="5"/>
        <v>5760</v>
      </c>
      <c r="L20" s="661">
        <f t="shared" si="1"/>
        <v>5760</v>
      </c>
      <c r="M20" s="459"/>
      <c r="N20" s="443"/>
      <c r="O20" s="229"/>
      <c r="P20" s="27"/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42">
        <v>0</v>
      </c>
      <c r="X20" s="42">
        <v>0</v>
      </c>
      <c r="Y20" s="42">
        <v>0</v>
      </c>
      <c r="Z20" s="42">
        <v>0</v>
      </c>
      <c r="AA20" s="28">
        <v>480</v>
      </c>
      <c r="AB20" s="28">
        <v>480</v>
      </c>
      <c r="AC20" s="28">
        <v>480</v>
      </c>
      <c r="AD20" s="28">
        <v>480</v>
      </c>
      <c r="AE20" s="28">
        <v>480</v>
      </c>
      <c r="AF20" s="28">
        <v>480</v>
      </c>
      <c r="AG20" s="28">
        <v>480</v>
      </c>
      <c r="AH20" s="28">
        <v>480</v>
      </c>
      <c r="AI20" s="28">
        <v>480</v>
      </c>
      <c r="AJ20" s="28">
        <v>480</v>
      </c>
      <c r="AK20" s="28">
        <v>480</v>
      </c>
      <c r="AL20" s="28">
        <v>480</v>
      </c>
      <c r="AM20" s="28">
        <v>480</v>
      </c>
      <c r="AN20" s="28">
        <v>480</v>
      </c>
      <c r="AO20" s="28">
        <v>480</v>
      </c>
      <c r="AP20" s="28">
        <v>480</v>
      </c>
      <c r="AQ20" s="28">
        <v>480</v>
      </c>
      <c r="AR20" s="28">
        <v>480</v>
      </c>
      <c r="AS20" s="28">
        <v>480</v>
      </c>
      <c r="AT20" s="28">
        <v>480</v>
      </c>
      <c r="AU20" s="28">
        <v>480</v>
      </c>
      <c r="AV20" s="28">
        <v>480</v>
      </c>
      <c r="AW20" s="28">
        <v>480</v>
      </c>
      <c r="AX20" s="28">
        <v>480</v>
      </c>
    </row>
    <row r="21" spans="1:50" ht="19.5" customHeight="1">
      <c r="A21" s="175" t="s">
        <v>95</v>
      </c>
      <c r="B21" s="176" t="s">
        <v>18</v>
      </c>
      <c r="C21" s="177"/>
      <c r="D21" s="142"/>
      <c r="E21" s="391"/>
      <c r="F21" s="391"/>
      <c r="G21" s="375"/>
      <c r="H21" s="392"/>
      <c r="I21" s="439"/>
      <c r="J21" s="670">
        <f t="shared" si="0"/>
        <v>720</v>
      </c>
      <c r="K21" s="427">
        <f t="shared" si="5"/>
        <v>0</v>
      </c>
      <c r="L21" s="661">
        <f t="shared" si="1"/>
        <v>0</v>
      </c>
      <c r="M21" s="459"/>
      <c r="N21" s="443"/>
      <c r="O21" s="229"/>
      <c r="P21" s="27"/>
      <c r="Q21" s="27">
        <v>450</v>
      </c>
      <c r="R21" s="27">
        <v>270</v>
      </c>
      <c r="S21" s="27"/>
      <c r="T21" s="27"/>
      <c r="U21" s="27"/>
      <c r="V21" s="27"/>
      <c r="W21" s="27"/>
      <c r="X21" s="27"/>
      <c r="Y21" s="27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</row>
    <row r="22" spans="1:50" ht="19.5" customHeight="1">
      <c r="A22" s="175" t="s">
        <v>92</v>
      </c>
      <c r="B22" s="178" t="s">
        <v>78</v>
      </c>
      <c r="C22" s="177"/>
      <c r="D22" s="374"/>
      <c r="E22" s="397" t="s">
        <v>28</v>
      </c>
      <c r="F22" s="646"/>
      <c r="G22" s="623"/>
      <c r="H22" s="398"/>
      <c r="I22" s="377"/>
      <c r="J22" s="670">
        <v>0</v>
      </c>
      <c r="K22" s="427">
        <v>12000</v>
      </c>
      <c r="L22" s="229">
        <v>15000</v>
      </c>
      <c r="M22" s="459"/>
      <c r="N22" s="443"/>
      <c r="O22" s="423"/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42">
        <v>0</v>
      </c>
      <c r="W22" s="42">
        <v>0</v>
      </c>
      <c r="X22" s="42">
        <v>0</v>
      </c>
      <c r="Y22" s="42">
        <v>0</v>
      </c>
      <c r="Z22" s="42">
        <v>2000</v>
      </c>
      <c r="AA22" s="42"/>
      <c r="AB22" s="42">
        <v>2000</v>
      </c>
      <c r="AC22" s="42"/>
      <c r="AD22" s="42">
        <v>2000</v>
      </c>
      <c r="AE22" s="42">
        <v>2000</v>
      </c>
      <c r="AF22" s="42">
        <v>0</v>
      </c>
      <c r="AG22" s="42">
        <v>0</v>
      </c>
      <c r="AH22" s="42">
        <v>2000</v>
      </c>
      <c r="AI22" s="42"/>
      <c r="AJ22" s="42">
        <v>2000</v>
      </c>
      <c r="AK22" s="42"/>
      <c r="AL22" s="42">
        <v>7500</v>
      </c>
      <c r="AM22" s="42">
        <v>7500</v>
      </c>
      <c r="AN22" s="42">
        <v>7500</v>
      </c>
      <c r="AO22" s="42">
        <v>7500</v>
      </c>
      <c r="AP22" s="42">
        <v>7500</v>
      </c>
      <c r="AQ22" s="42">
        <v>7500</v>
      </c>
      <c r="AR22" s="42">
        <v>7500</v>
      </c>
      <c r="AS22" s="42">
        <v>7500</v>
      </c>
      <c r="AT22" s="42">
        <v>7500</v>
      </c>
      <c r="AU22" s="42">
        <v>7500</v>
      </c>
      <c r="AV22" s="42">
        <v>7500</v>
      </c>
      <c r="AW22" s="42">
        <v>7500</v>
      </c>
    </row>
    <row r="23" spans="1:50" ht="19.5" customHeight="1">
      <c r="A23" s="175" t="s">
        <v>96</v>
      </c>
      <c r="B23" s="178" t="s">
        <v>80</v>
      </c>
      <c r="C23" s="177"/>
      <c r="D23" s="142"/>
      <c r="E23" s="391"/>
      <c r="F23" s="391"/>
      <c r="G23" s="375"/>
      <c r="H23" s="392"/>
      <c r="I23" s="439"/>
      <c r="J23" s="670">
        <f t="shared" si="0"/>
        <v>0</v>
      </c>
      <c r="K23" s="718">
        <v>60000</v>
      </c>
      <c r="L23" s="662">
        <v>135000</v>
      </c>
      <c r="M23" s="683"/>
      <c r="N23" s="443"/>
      <c r="O23" s="229"/>
      <c r="P23" s="27"/>
      <c r="Q23" s="27"/>
      <c r="R23" s="27"/>
      <c r="S23" s="27"/>
      <c r="T23" s="27"/>
      <c r="U23" s="27"/>
      <c r="V23" s="27"/>
      <c r="W23" s="27">
        <v>0</v>
      </c>
      <c r="X23" s="27">
        <v>0</v>
      </c>
      <c r="Y23" s="27">
        <v>0</v>
      </c>
      <c r="Z23" s="42">
        <v>0</v>
      </c>
      <c r="AA23" s="28">
        <v>2000</v>
      </c>
      <c r="AB23" s="41">
        <v>2000</v>
      </c>
      <c r="AC23" s="41">
        <v>2000</v>
      </c>
      <c r="AD23" s="41">
        <v>2000</v>
      </c>
      <c r="AE23" s="41">
        <v>2000</v>
      </c>
      <c r="AF23" s="41">
        <v>2000</v>
      </c>
      <c r="AG23" s="41"/>
      <c r="AH23" s="41"/>
      <c r="AI23" s="41">
        <v>2000</v>
      </c>
      <c r="AJ23" s="41">
        <v>2000</v>
      </c>
      <c r="AK23" s="41">
        <v>2000</v>
      </c>
      <c r="AL23" s="41">
        <v>2000</v>
      </c>
      <c r="AM23" s="28">
        <v>2500</v>
      </c>
      <c r="AN23" s="28">
        <v>2500</v>
      </c>
      <c r="AO23" s="28">
        <v>2500</v>
      </c>
      <c r="AP23" s="28">
        <v>2500</v>
      </c>
      <c r="AQ23" s="28">
        <v>2500</v>
      </c>
      <c r="AR23" s="28">
        <v>2500</v>
      </c>
      <c r="AS23" s="28">
        <v>2500</v>
      </c>
      <c r="AT23" s="28">
        <v>2500</v>
      </c>
      <c r="AU23" s="28">
        <v>2500</v>
      </c>
      <c r="AV23" s="28">
        <v>2500</v>
      </c>
      <c r="AW23" s="28">
        <v>2500</v>
      </c>
      <c r="AX23" s="28">
        <v>2500</v>
      </c>
    </row>
    <row r="24" spans="1:50" ht="19.5" customHeight="1">
      <c r="A24" s="175" t="s">
        <v>97</v>
      </c>
      <c r="B24" s="178" t="s">
        <v>79</v>
      </c>
      <c r="C24" s="177"/>
      <c r="D24" s="142"/>
      <c r="E24" s="391"/>
      <c r="F24" s="391"/>
      <c r="G24" s="375"/>
      <c r="H24" s="392"/>
      <c r="I24" s="439"/>
      <c r="J24" s="670">
        <f t="shared" si="0"/>
        <v>0</v>
      </c>
      <c r="K24" s="427">
        <f t="shared" si="5"/>
        <v>5000</v>
      </c>
      <c r="L24" s="661">
        <f t="shared" si="1"/>
        <v>27000</v>
      </c>
      <c r="M24" s="459"/>
      <c r="N24" s="443"/>
      <c r="O24" s="229"/>
      <c r="P24" s="27"/>
      <c r="Q24" s="27"/>
      <c r="R24" s="27"/>
      <c r="S24" s="27"/>
      <c r="T24" s="27"/>
      <c r="U24" s="27"/>
      <c r="V24" s="27"/>
      <c r="W24" s="27"/>
      <c r="X24" s="27">
        <v>0</v>
      </c>
      <c r="Y24" s="42">
        <v>0</v>
      </c>
      <c r="Z24" s="42">
        <v>0</v>
      </c>
      <c r="AA24" s="28"/>
      <c r="AB24" s="28"/>
      <c r="AC24" s="28"/>
      <c r="AD24" s="28"/>
      <c r="AE24" s="28"/>
      <c r="AF24" s="28">
        <v>2500</v>
      </c>
      <c r="AG24" s="28"/>
      <c r="AH24" s="28"/>
      <c r="AI24" s="28">
        <v>2500</v>
      </c>
      <c r="AJ24" s="28"/>
      <c r="AK24" s="28"/>
      <c r="AL24" s="28"/>
      <c r="AM24" s="28">
        <v>2250</v>
      </c>
      <c r="AN24" s="28">
        <v>2250</v>
      </c>
      <c r="AO24" s="28">
        <v>2250</v>
      </c>
      <c r="AP24" s="28">
        <v>2250</v>
      </c>
      <c r="AQ24" s="28">
        <v>2250</v>
      </c>
      <c r="AR24" s="28">
        <v>2250</v>
      </c>
      <c r="AS24" s="28">
        <v>2250</v>
      </c>
      <c r="AT24" s="28">
        <v>2250</v>
      </c>
      <c r="AU24" s="28">
        <v>2250</v>
      </c>
      <c r="AV24" s="28">
        <v>2250</v>
      </c>
      <c r="AW24" s="28">
        <v>2250</v>
      </c>
      <c r="AX24" s="28">
        <v>2250</v>
      </c>
    </row>
    <row r="25" spans="1:50" ht="19.5" customHeight="1">
      <c r="A25" s="187" t="s">
        <v>98</v>
      </c>
      <c r="B25" s="178" t="s">
        <v>81</v>
      </c>
      <c r="C25" s="177"/>
      <c r="D25" s="388"/>
      <c r="E25" s="391"/>
      <c r="F25" s="391"/>
      <c r="G25" s="375"/>
      <c r="H25" s="392"/>
      <c r="I25" s="439"/>
      <c r="J25" s="670">
        <f t="shared" si="0"/>
        <v>5000</v>
      </c>
      <c r="K25" s="427">
        <f t="shared" si="5"/>
        <v>35000</v>
      </c>
      <c r="L25" s="661">
        <v>40000</v>
      </c>
      <c r="M25" s="459"/>
      <c r="N25" s="443"/>
      <c r="O25" s="229"/>
      <c r="P25" s="27"/>
      <c r="Q25" s="27"/>
      <c r="R25" s="27"/>
      <c r="S25" s="27"/>
      <c r="T25" s="27"/>
      <c r="U25" s="27"/>
      <c r="V25" s="27"/>
      <c r="W25" s="27"/>
      <c r="X25" s="42">
        <v>3000</v>
      </c>
      <c r="Y25" s="42">
        <v>1000</v>
      </c>
      <c r="Z25" s="42">
        <v>1000</v>
      </c>
      <c r="AA25" s="42">
        <v>2500</v>
      </c>
      <c r="AB25" s="42">
        <v>2500</v>
      </c>
      <c r="AC25" s="42">
        <v>3750</v>
      </c>
      <c r="AD25" s="42">
        <v>3750</v>
      </c>
      <c r="AE25" s="42">
        <v>3750</v>
      </c>
      <c r="AF25" s="42">
        <v>3750</v>
      </c>
      <c r="AG25" s="42"/>
      <c r="AH25" s="42"/>
      <c r="AI25" s="42">
        <v>3750</v>
      </c>
      <c r="AJ25" s="42">
        <v>3750</v>
      </c>
      <c r="AK25" s="42">
        <v>3750</v>
      </c>
      <c r="AL25" s="42">
        <v>3750</v>
      </c>
      <c r="AM25" s="42"/>
      <c r="AN25" s="41">
        <v>10000</v>
      </c>
      <c r="AO25" s="41">
        <v>10000</v>
      </c>
      <c r="AP25" s="41">
        <v>10000</v>
      </c>
      <c r="AQ25" s="41">
        <v>10000</v>
      </c>
      <c r="AR25" s="41">
        <v>10000</v>
      </c>
      <c r="AS25" s="41">
        <v>10000</v>
      </c>
      <c r="AT25" s="41">
        <v>10000</v>
      </c>
      <c r="AU25" s="41">
        <v>10000</v>
      </c>
      <c r="AV25" s="41">
        <v>10000</v>
      </c>
      <c r="AW25" s="41">
        <v>10000</v>
      </c>
      <c r="AX25" s="41">
        <v>10000</v>
      </c>
    </row>
    <row r="26" spans="1:50" ht="19.5" hidden="1" customHeight="1">
      <c r="A26" s="13" t="s">
        <v>17</v>
      </c>
      <c r="B26" s="26"/>
      <c r="C26" s="26"/>
      <c r="D26" s="388"/>
      <c r="E26" s="391"/>
      <c r="F26" s="391"/>
      <c r="G26" s="375"/>
      <c r="H26" s="392"/>
      <c r="I26" s="439"/>
      <c r="J26" s="670">
        <f t="shared" si="0"/>
        <v>0</v>
      </c>
      <c r="K26" s="427">
        <f t="shared" si="5"/>
        <v>0</v>
      </c>
      <c r="L26" s="661">
        <f t="shared" si="1"/>
        <v>0</v>
      </c>
      <c r="M26" s="459"/>
      <c r="N26" s="443"/>
      <c r="O26" s="229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</row>
    <row r="27" spans="1:50" ht="19.5" hidden="1" customHeight="1">
      <c r="A27" s="13" t="s">
        <v>19</v>
      </c>
      <c r="B27" s="26"/>
      <c r="C27" s="26"/>
      <c r="D27" s="388"/>
      <c r="E27" s="391"/>
      <c r="F27" s="391"/>
      <c r="G27" s="375"/>
      <c r="H27" s="392"/>
      <c r="I27" s="439"/>
      <c r="J27" s="670">
        <f t="shared" si="0"/>
        <v>0</v>
      </c>
      <c r="K27" s="427">
        <f t="shared" si="5"/>
        <v>0</v>
      </c>
      <c r="L27" s="661">
        <f t="shared" si="1"/>
        <v>0</v>
      </c>
      <c r="M27" s="459"/>
      <c r="N27" s="443"/>
      <c r="O27" s="229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</row>
    <row r="28" spans="1:50" ht="19.5" hidden="1" customHeight="1">
      <c r="A28" s="13" t="s">
        <v>20</v>
      </c>
      <c r="B28" s="26"/>
      <c r="C28" s="26"/>
      <c r="D28" s="388"/>
      <c r="E28" s="391"/>
      <c r="F28" s="391"/>
      <c r="G28" s="375"/>
      <c r="H28" s="392"/>
      <c r="I28" s="439"/>
      <c r="J28" s="670">
        <f t="shared" si="0"/>
        <v>0</v>
      </c>
      <c r="K28" s="427">
        <f t="shared" si="5"/>
        <v>0</v>
      </c>
      <c r="L28" s="661">
        <f t="shared" si="1"/>
        <v>0</v>
      </c>
      <c r="M28" s="459"/>
      <c r="N28" s="443"/>
      <c r="O28" s="229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</row>
    <row r="29" spans="1:50" ht="19.5" hidden="1" customHeight="1">
      <c r="A29" s="13" t="s">
        <v>21</v>
      </c>
      <c r="B29" s="26"/>
      <c r="C29" s="26"/>
      <c r="D29" s="388"/>
      <c r="E29" s="391"/>
      <c r="F29" s="391"/>
      <c r="G29" s="375"/>
      <c r="H29" s="392"/>
      <c r="I29" s="439"/>
      <c r="J29" s="670">
        <f t="shared" si="0"/>
        <v>0</v>
      </c>
      <c r="K29" s="427">
        <f t="shared" si="5"/>
        <v>0</v>
      </c>
      <c r="L29" s="661">
        <f t="shared" si="1"/>
        <v>0</v>
      </c>
      <c r="M29" s="459"/>
      <c r="N29" s="443"/>
      <c r="O29" s="229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</row>
    <row r="30" spans="1:50" ht="19.5" hidden="1" customHeight="1">
      <c r="A30" s="13" t="s">
        <v>22</v>
      </c>
      <c r="B30" s="26"/>
      <c r="C30" s="26"/>
      <c r="D30" s="388"/>
      <c r="E30" s="391"/>
      <c r="F30" s="391"/>
      <c r="G30" s="375"/>
      <c r="H30" s="392"/>
      <c r="I30" s="439"/>
      <c r="J30" s="670">
        <f t="shared" si="0"/>
        <v>0</v>
      </c>
      <c r="K30" s="427">
        <f t="shared" si="5"/>
        <v>0</v>
      </c>
      <c r="L30" s="661">
        <f t="shared" si="1"/>
        <v>0</v>
      </c>
      <c r="M30" s="459"/>
      <c r="N30" s="443"/>
      <c r="O30" s="229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</row>
    <row r="31" spans="1:50" ht="19.5" customHeight="1">
      <c r="A31" s="188" t="s">
        <v>23</v>
      </c>
      <c r="B31" s="189" t="s">
        <v>82</v>
      </c>
      <c r="C31" s="190"/>
      <c r="D31" s="388"/>
      <c r="E31" s="393">
        <v>10117</v>
      </c>
      <c r="F31" s="393">
        <f>+'2 - Plan de Trésorerie'!F31</f>
        <v>7883</v>
      </c>
      <c r="G31" s="385">
        <v>0</v>
      </c>
      <c r="H31" s="394"/>
      <c r="I31" s="439"/>
      <c r="J31" s="575">
        <v>0</v>
      </c>
      <c r="K31" s="428"/>
      <c r="L31" s="659">
        <f t="shared" si="1"/>
        <v>0</v>
      </c>
      <c r="M31" s="679"/>
      <c r="N31" s="443"/>
      <c r="O31" s="43"/>
      <c r="P31" s="44"/>
      <c r="Q31" s="44"/>
      <c r="R31" s="44"/>
      <c r="S31" s="44"/>
      <c r="T31" s="44">
        <v>10116</v>
      </c>
      <c r="U31" s="167" t="s">
        <v>28</v>
      </c>
      <c r="V31" s="44"/>
      <c r="W31" s="44"/>
      <c r="X31" s="44"/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</row>
    <row r="32" spans="1:50" ht="19.5" customHeight="1">
      <c r="A32" s="183" t="s">
        <v>23</v>
      </c>
      <c r="B32" s="186" t="s">
        <v>83</v>
      </c>
      <c r="C32" s="185"/>
      <c r="D32" s="388"/>
      <c r="E32" s="393">
        <v>5000</v>
      </c>
      <c r="F32" s="393">
        <v>0</v>
      </c>
      <c r="G32" s="385">
        <v>0</v>
      </c>
      <c r="H32" s="394"/>
      <c r="I32" s="439"/>
      <c r="J32" s="575">
        <v>0</v>
      </c>
      <c r="K32" s="428">
        <f t="shared" si="5"/>
        <v>0</v>
      </c>
      <c r="L32" s="659">
        <f t="shared" si="1"/>
        <v>0</v>
      </c>
      <c r="M32" s="679"/>
      <c r="N32" s="443"/>
      <c r="O32" s="46"/>
      <c r="P32" s="47"/>
      <c r="Q32" s="47"/>
      <c r="R32" s="47">
        <v>0</v>
      </c>
      <c r="S32" s="47">
        <v>0</v>
      </c>
      <c r="T32" s="47">
        <v>0</v>
      </c>
      <c r="U32" s="47">
        <v>5000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7">
        <v>0</v>
      </c>
      <c r="AX32" s="47">
        <v>0</v>
      </c>
    </row>
    <row r="33" spans="1:50" ht="19.5" customHeight="1">
      <c r="A33" s="191" t="s">
        <v>25</v>
      </c>
      <c r="B33" s="192" t="s">
        <v>26</v>
      </c>
      <c r="C33" s="193"/>
      <c r="D33" s="388"/>
      <c r="E33" s="391"/>
      <c r="F33" s="391"/>
      <c r="G33" s="375"/>
      <c r="H33" s="392"/>
      <c r="I33" s="439"/>
      <c r="J33" s="670">
        <f t="shared" si="0"/>
        <v>8279.3250000000007</v>
      </c>
      <c r="K33" s="427">
        <f t="shared" si="5"/>
        <v>0</v>
      </c>
      <c r="L33" s="661">
        <f t="shared" si="1"/>
        <v>0</v>
      </c>
      <c r="M33" s="459"/>
      <c r="N33" s="443"/>
      <c r="O33" s="49"/>
      <c r="P33" s="50"/>
      <c r="Q33" s="50"/>
      <c r="R33" s="51">
        <f t="shared" ref="R33:Z33" si="6">+(R72+R73)*0.5935</f>
        <v>919.92500000000007</v>
      </c>
      <c r="S33" s="51">
        <f t="shared" si="6"/>
        <v>919.92500000000007</v>
      </c>
      <c r="T33" s="51">
        <f t="shared" si="6"/>
        <v>919.92500000000007</v>
      </c>
      <c r="U33" s="51">
        <f t="shared" si="6"/>
        <v>919.92500000000007</v>
      </c>
      <c r="V33" s="51">
        <f t="shared" si="6"/>
        <v>919.92500000000007</v>
      </c>
      <c r="W33" s="51">
        <f t="shared" si="6"/>
        <v>919.92500000000007</v>
      </c>
      <c r="X33" s="51">
        <f t="shared" si="6"/>
        <v>919.92500000000007</v>
      </c>
      <c r="Y33" s="51">
        <f t="shared" si="6"/>
        <v>919.92500000000007</v>
      </c>
      <c r="Z33" s="51">
        <f t="shared" si="6"/>
        <v>919.92500000000007</v>
      </c>
      <c r="AA33" s="51">
        <v>0</v>
      </c>
      <c r="AB33" s="52">
        <v>0</v>
      </c>
      <c r="AC33" s="52">
        <v>0</v>
      </c>
      <c r="AD33" s="52">
        <v>0</v>
      </c>
      <c r="AE33" s="52">
        <v>0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52">
        <v>0</v>
      </c>
      <c r="AO33" s="52">
        <v>0</v>
      </c>
      <c r="AP33" s="52"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0</v>
      </c>
    </row>
    <row r="34" spans="1:50" ht="19.5" customHeight="1">
      <c r="A34" s="191" t="s">
        <v>25</v>
      </c>
      <c r="B34" s="192" t="s">
        <v>27</v>
      </c>
      <c r="C34" s="193"/>
      <c r="D34" s="388"/>
      <c r="E34" s="391"/>
      <c r="F34" s="391"/>
      <c r="G34" s="375"/>
      <c r="H34" s="392"/>
      <c r="I34" s="439"/>
      <c r="J34" s="670">
        <f t="shared" si="0"/>
        <v>9276.4050000000007</v>
      </c>
      <c r="K34" s="427">
        <f t="shared" si="5"/>
        <v>1762.9250000000002</v>
      </c>
      <c r="L34" s="661">
        <f t="shared" si="1"/>
        <v>0</v>
      </c>
      <c r="M34" s="459"/>
      <c r="N34" s="443"/>
      <c r="O34" s="49"/>
      <c r="P34" s="51">
        <f t="shared" ref="P34:AA34" si="7">+(P70+P71)*0.5935</f>
        <v>77.155000000000001</v>
      </c>
      <c r="Q34" s="51">
        <f t="shared" si="7"/>
        <v>919.92500000000007</v>
      </c>
      <c r="R34" s="51">
        <f t="shared" si="7"/>
        <v>919.92500000000007</v>
      </c>
      <c r="S34" s="51">
        <f t="shared" si="7"/>
        <v>919.92500000000007</v>
      </c>
      <c r="T34" s="51">
        <f t="shared" si="7"/>
        <v>919.92500000000007</v>
      </c>
      <c r="U34" s="51">
        <f t="shared" si="7"/>
        <v>919.92500000000007</v>
      </c>
      <c r="V34" s="51">
        <f t="shared" si="7"/>
        <v>919.92500000000007</v>
      </c>
      <c r="W34" s="51">
        <f t="shared" si="7"/>
        <v>919.92500000000007</v>
      </c>
      <c r="X34" s="51">
        <f t="shared" si="7"/>
        <v>919.92500000000007</v>
      </c>
      <c r="Y34" s="51">
        <f t="shared" si="7"/>
        <v>919.92500000000007</v>
      </c>
      <c r="Z34" s="51">
        <f t="shared" si="7"/>
        <v>919.92500000000007</v>
      </c>
      <c r="AA34" s="51">
        <f t="shared" si="7"/>
        <v>919.92500000000007</v>
      </c>
      <c r="AB34" s="52">
        <v>843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0</v>
      </c>
      <c r="AI34" s="52">
        <v>0</v>
      </c>
      <c r="AJ34" s="52">
        <v>0</v>
      </c>
      <c r="AK34" s="52">
        <v>0</v>
      </c>
      <c r="AL34" s="52">
        <v>0</v>
      </c>
      <c r="AM34" s="5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 s="52">
        <v>0</v>
      </c>
      <c r="AX34" s="52">
        <v>0</v>
      </c>
    </row>
    <row r="35" spans="1:50" s="170" customFormat="1" ht="19.5" customHeight="1" thickBot="1">
      <c r="A35" s="199" t="s">
        <v>84</v>
      </c>
      <c r="B35" s="200" t="s">
        <v>104</v>
      </c>
      <c r="C35" s="194"/>
      <c r="D35" s="334"/>
      <c r="E35" s="391"/>
      <c r="F35" s="391"/>
      <c r="G35" s="375"/>
      <c r="H35" s="392"/>
      <c r="I35" s="439"/>
      <c r="J35" s="711">
        <f t="shared" si="0"/>
        <v>4700</v>
      </c>
      <c r="K35" s="427">
        <f t="shared" si="5"/>
        <v>11407</v>
      </c>
      <c r="L35" s="661">
        <f t="shared" si="1"/>
        <v>0</v>
      </c>
      <c r="M35" s="459"/>
      <c r="N35" s="443"/>
      <c r="O35" s="196"/>
      <c r="P35" s="197"/>
      <c r="Q35" s="197"/>
      <c r="R35" s="197"/>
      <c r="S35" s="197"/>
      <c r="T35" s="197"/>
      <c r="U35" s="197"/>
      <c r="V35" s="197"/>
      <c r="W35" s="197">
        <v>671</v>
      </c>
      <c r="X35" s="197">
        <v>1343</v>
      </c>
      <c r="Y35" s="197">
        <v>1343</v>
      </c>
      <c r="Z35" s="197">
        <v>1343</v>
      </c>
      <c r="AA35" s="197">
        <v>1343</v>
      </c>
      <c r="AB35" s="197">
        <v>1343</v>
      </c>
      <c r="AC35" s="197">
        <v>1343</v>
      </c>
      <c r="AD35" s="197">
        <v>1343</v>
      </c>
      <c r="AE35" s="197">
        <v>1343</v>
      </c>
      <c r="AF35" s="197">
        <v>1343</v>
      </c>
      <c r="AG35" s="197">
        <v>1343</v>
      </c>
      <c r="AH35" s="197">
        <v>1343</v>
      </c>
      <c r="AI35" s="198">
        <v>663</v>
      </c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</row>
    <row r="36" spans="1:50" ht="19.5" customHeight="1" thickBot="1">
      <c r="A36" s="30" t="s">
        <v>29</v>
      </c>
      <c r="B36" s="135" t="s">
        <v>28</v>
      </c>
      <c r="C36" s="31"/>
      <c r="D36" s="150"/>
      <c r="E36" s="399">
        <f>SUM(E17:E35)</f>
        <v>15117</v>
      </c>
      <c r="F36" s="399">
        <f t="shared" ref="F36:G36" si="8">SUM(F17:F35)</f>
        <v>7883</v>
      </c>
      <c r="G36" s="378">
        <f t="shared" si="8"/>
        <v>0</v>
      </c>
      <c r="H36" s="400">
        <f t="shared" ref="H36" si="9">SUM(H17:H35)</f>
        <v>0</v>
      </c>
      <c r="I36" s="445"/>
      <c r="J36" s="671">
        <f t="shared" ref="J36:AX36" si="10">SUM(J17:J35)</f>
        <v>27975.730000000003</v>
      </c>
      <c r="K36" s="406">
        <f t="shared" si="10"/>
        <v>185929.92499999999</v>
      </c>
      <c r="L36" s="625">
        <f t="shared" si="10"/>
        <v>277760</v>
      </c>
      <c r="M36" s="649"/>
      <c r="N36" s="444"/>
      <c r="O36" s="422">
        <f t="shared" si="10"/>
        <v>0</v>
      </c>
      <c r="P36" s="32">
        <f t="shared" si="10"/>
        <v>77.155000000000001</v>
      </c>
      <c r="Q36" s="32">
        <f t="shared" si="10"/>
        <v>1369.9250000000002</v>
      </c>
      <c r="R36" s="32">
        <f t="shared" si="10"/>
        <v>2109.8500000000004</v>
      </c>
      <c r="S36" s="32">
        <f t="shared" si="10"/>
        <v>1839.8500000000001</v>
      </c>
      <c r="T36" s="32">
        <f t="shared" si="10"/>
        <v>11955.849999999999</v>
      </c>
      <c r="U36" s="32">
        <f t="shared" si="10"/>
        <v>6839.85</v>
      </c>
      <c r="V36" s="32">
        <f t="shared" si="10"/>
        <v>1839.8500000000001</v>
      </c>
      <c r="W36" s="32">
        <f t="shared" si="10"/>
        <v>2510.8500000000004</v>
      </c>
      <c r="X36" s="32">
        <f t="shared" si="10"/>
        <v>6182.85</v>
      </c>
      <c r="Y36" s="32">
        <f t="shared" si="10"/>
        <v>4182.8500000000004</v>
      </c>
      <c r="Z36" s="32">
        <f t="shared" si="10"/>
        <v>6182.85</v>
      </c>
      <c r="AA36" s="32">
        <f t="shared" si="10"/>
        <v>7442.9250000000002</v>
      </c>
      <c r="AB36" s="32">
        <f t="shared" si="10"/>
        <v>19366</v>
      </c>
      <c r="AC36" s="32">
        <f t="shared" si="10"/>
        <v>7773</v>
      </c>
      <c r="AD36" s="32">
        <f t="shared" si="10"/>
        <v>19773</v>
      </c>
      <c r="AE36" s="32">
        <f t="shared" si="10"/>
        <v>9773</v>
      </c>
      <c r="AF36" s="32">
        <f t="shared" si="10"/>
        <v>20273</v>
      </c>
      <c r="AG36" s="32">
        <f t="shared" si="10"/>
        <v>1823</v>
      </c>
      <c r="AH36" s="32">
        <f t="shared" si="10"/>
        <v>3823</v>
      </c>
      <c r="AI36" s="32">
        <f t="shared" si="10"/>
        <v>19993</v>
      </c>
      <c r="AJ36" s="32">
        <f t="shared" si="10"/>
        <v>19230</v>
      </c>
      <c r="AK36" s="32">
        <f t="shared" si="10"/>
        <v>7230</v>
      </c>
      <c r="AL36" s="32">
        <f t="shared" si="10"/>
        <v>14930</v>
      </c>
      <c r="AM36" s="32">
        <f t="shared" si="10"/>
        <v>13030</v>
      </c>
      <c r="AN36" s="32">
        <f t="shared" si="10"/>
        <v>23030</v>
      </c>
      <c r="AO36" s="32">
        <f t="shared" si="10"/>
        <v>23030</v>
      </c>
      <c r="AP36" s="32">
        <f t="shared" si="10"/>
        <v>23030</v>
      </c>
      <c r="AQ36" s="32">
        <f t="shared" si="10"/>
        <v>23030</v>
      </c>
      <c r="AR36" s="32">
        <f t="shared" si="10"/>
        <v>23030</v>
      </c>
      <c r="AS36" s="32">
        <f t="shared" si="10"/>
        <v>22730</v>
      </c>
      <c r="AT36" s="32">
        <f t="shared" si="10"/>
        <v>22730</v>
      </c>
      <c r="AU36" s="32">
        <f t="shared" si="10"/>
        <v>23530</v>
      </c>
      <c r="AV36" s="32">
        <f t="shared" si="10"/>
        <v>23830</v>
      </c>
      <c r="AW36" s="32">
        <f t="shared" si="10"/>
        <v>23830</v>
      </c>
      <c r="AX36" s="32">
        <f t="shared" si="10"/>
        <v>16430</v>
      </c>
    </row>
    <row r="37" spans="1:50" ht="19.5" customHeight="1" thickBot="1">
      <c r="A37" s="53" t="s">
        <v>110</v>
      </c>
      <c r="B37" s="136" t="s">
        <v>28</v>
      </c>
      <c r="C37" s="54"/>
      <c r="D37" s="148"/>
      <c r="E37" s="635">
        <f>+E16+E36</f>
        <v>15117</v>
      </c>
      <c r="F37" s="401">
        <f t="shared" ref="F37:G37" si="11">+F16+F36</f>
        <v>37883</v>
      </c>
      <c r="G37" s="624">
        <f t="shared" si="11"/>
        <v>0</v>
      </c>
      <c r="H37" s="402">
        <f t="shared" ref="H37" si="12">+H16+H36</f>
        <v>0</v>
      </c>
      <c r="I37" s="445"/>
      <c r="J37" s="635">
        <f t="shared" ref="J37" si="13">+J16+J36</f>
        <v>27975.730000000003</v>
      </c>
      <c r="K37" s="401">
        <f t="shared" ref="K37" si="14">+K16+K36</f>
        <v>185929.92499999999</v>
      </c>
      <c r="L37" s="624">
        <f t="shared" ref="L37" si="15">+L16+L36</f>
        <v>277760</v>
      </c>
      <c r="M37" s="402"/>
      <c r="N37" s="445"/>
      <c r="O37" s="125">
        <f t="shared" ref="O37:AX37" si="16">O16+O36</f>
        <v>0</v>
      </c>
      <c r="P37" s="56">
        <f t="shared" si="16"/>
        <v>77.155000000000001</v>
      </c>
      <c r="Q37" s="56">
        <f t="shared" si="16"/>
        <v>1369.9250000000002</v>
      </c>
      <c r="R37" s="56">
        <f t="shared" si="16"/>
        <v>2109.8500000000004</v>
      </c>
      <c r="S37" s="56">
        <f t="shared" si="16"/>
        <v>1839.8500000000001</v>
      </c>
      <c r="T37" s="56">
        <f t="shared" si="16"/>
        <v>11955.849999999999</v>
      </c>
      <c r="U37" s="56">
        <f t="shared" si="16"/>
        <v>6839.85</v>
      </c>
      <c r="V37" s="56">
        <f t="shared" si="16"/>
        <v>1839.8500000000001</v>
      </c>
      <c r="W37" s="56">
        <f t="shared" si="16"/>
        <v>2510.8500000000004</v>
      </c>
      <c r="X37" s="56">
        <f t="shared" si="16"/>
        <v>6182.85</v>
      </c>
      <c r="Y37" s="56">
        <f t="shared" si="16"/>
        <v>4182.8500000000004</v>
      </c>
      <c r="Z37" s="57">
        <f t="shared" si="16"/>
        <v>6182.85</v>
      </c>
      <c r="AA37" s="57">
        <f t="shared" si="16"/>
        <v>7442.9250000000002</v>
      </c>
      <c r="AB37" s="57">
        <f t="shared" si="16"/>
        <v>34366</v>
      </c>
      <c r="AC37" s="57">
        <f t="shared" si="16"/>
        <v>7773</v>
      </c>
      <c r="AD37" s="57">
        <f t="shared" si="16"/>
        <v>19773</v>
      </c>
      <c r="AE37" s="57">
        <f t="shared" si="16"/>
        <v>9773</v>
      </c>
      <c r="AF37" s="57">
        <f t="shared" si="16"/>
        <v>20273</v>
      </c>
      <c r="AG37" s="57">
        <f t="shared" si="16"/>
        <v>1823</v>
      </c>
      <c r="AH37" s="57">
        <f t="shared" si="16"/>
        <v>3823</v>
      </c>
      <c r="AI37" s="57">
        <f t="shared" si="16"/>
        <v>19993</v>
      </c>
      <c r="AJ37" s="57">
        <f t="shared" si="16"/>
        <v>19230</v>
      </c>
      <c r="AK37" s="57">
        <f t="shared" si="16"/>
        <v>7230</v>
      </c>
      <c r="AL37" s="57">
        <f t="shared" si="16"/>
        <v>14930</v>
      </c>
      <c r="AM37" s="57">
        <f t="shared" si="16"/>
        <v>13030</v>
      </c>
      <c r="AN37" s="57">
        <f t="shared" si="16"/>
        <v>23030</v>
      </c>
      <c r="AO37" s="57">
        <f t="shared" si="16"/>
        <v>23030</v>
      </c>
      <c r="AP37" s="57">
        <f t="shared" si="16"/>
        <v>23030</v>
      </c>
      <c r="AQ37" s="57">
        <f t="shared" si="16"/>
        <v>23030</v>
      </c>
      <c r="AR37" s="57">
        <f t="shared" si="16"/>
        <v>23030</v>
      </c>
      <c r="AS37" s="57">
        <f t="shared" si="16"/>
        <v>22730</v>
      </c>
      <c r="AT37" s="57">
        <f t="shared" si="16"/>
        <v>22730</v>
      </c>
      <c r="AU37" s="57">
        <f t="shared" si="16"/>
        <v>23530</v>
      </c>
      <c r="AV37" s="57">
        <f t="shared" si="16"/>
        <v>23830</v>
      </c>
      <c r="AW37" s="57">
        <f t="shared" si="16"/>
        <v>23830</v>
      </c>
      <c r="AX37" s="57">
        <f t="shared" si="16"/>
        <v>16430</v>
      </c>
    </row>
    <row r="38" spans="1:50" ht="12" customHeight="1" thickBot="1">
      <c r="A38" s="3"/>
      <c r="B38" s="1"/>
      <c r="C38" s="1"/>
      <c r="D38" s="389"/>
      <c r="E38" s="403"/>
      <c r="F38" s="403"/>
      <c r="G38" s="387"/>
      <c r="H38" s="707"/>
      <c r="I38" s="453"/>
      <c r="J38" s="670">
        <f t="shared" si="0"/>
        <v>0</v>
      </c>
      <c r="K38" s="427">
        <f t="shared" si="5"/>
        <v>0</v>
      </c>
      <c r="L38" s="661">
        <f t="shared" si="5"/>
        <v>0</v>
      </c>
      <c r="M38" s="459"/>
      <c r="N38" s="443"/>
      <c r="O38" s="42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2"/>
      <c r="AB38" s="58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9.5" customHeight="1" thickBot="1">
      <c r="A39" s="5" t="s">
        <v>101</v>
      </c>
      <c r="B39" s="6"/>
      <c r="C39" s="6"/>
      <c r="D39" s="140"/>
      <c r="E39" s="404" t="s">
        <v>28</v>
      </c>
      <c r="F39" s="430"/>
      <c r="G39" s="376"/>
      <c r="H39" s="708"/>
      <c r="I39" s="446"/>
      <c r="J39" s="430"/>
      <c r="K39" s="430"/>
      <c r="L39" s="376"/>
      <c r="M39" s="648"/>
      <c r="N39" s="446"/>
      <c r="O39" s="235">
        <f>O9</f>
        <v>44227</v>
      </c>
      <c r="P39" s="60">
        <f t="shared" ref="P39:AX39" si="17">IF(O39="","",EOMONTH(O39,1))</f>
        <v>44255</v>
      </c>
      <c r="Q39" s="60">
        <f t="shared" si="17"/>
        <v>44286</v>
      </c>
      <c r="R39" s="60">
        <f t="shared" si="17"/>
        <v>44316</v>
      </c>
      <c r="S39" s="60">
        <f t="shared" si="17"/>
        <v>44347</v>
      </c>
      <c r="T39" s="60">
        <f t="shared" si="17"/>
        <v>44377</v>
      </c>
      <c r="U39" s="60">
        <f t="shared" si="17"/>
        <v>44408</v>
      </c>
      <c r="V39" s="60">
        <f t="shared" si="17"/>
        <v>44439</v>
      </c>
      <c r="W39" s="60">
        <f t="shared" si="17"/>
        <v>44469</v>
      </c>
      <c r="X39" s="60">
        <f t="shared" si="17"/>
        <v>44500</v>
      </c>
      <c r="Y39" s="60">
        <f t="shared" si="17"/>
        <v>44530</v>
      </c>
      <c r="Z39" s="61">
        <f t="shared" si="17"/>
        <v>44561</v>
      </c>
      <c r="AA39" s="61">
        <f t="shared" si="17"/>
        <v>44592</v>
      </c>
      <c r="AB39" s="61">
        <f t="shared" si="17"/>
        <v>44620</v>
      </c>
      <c r="AC39" s="61">
        <f t="shared" si="17"/>
        <v>44651</v>
      </c>
      <c r="AD39" s="61">
        <f t="shared" si="17"/>
        <v>44681</v>
      </c>
      <c r="AE39" s="61">
        <f t="shared" si="17"/>
        <v>44712</v>
      </c>
      <c r="AF39" s="61">
        <f t="shared" si="17"/>
        <v>44742</v>
      </c>
      <c r="AG39" s="61">
        <f t="shared" si="17"/>
        <v>44773</v>
      </c>
      <c r="AH39" s="61">
        <f t="shared" si="17"/>
        <v>44804</v>
      </c>
      <c r="AI39" s="61">
        <f t="shared" si="17"/>
        <v>44834</v>
      </c>
      <c r="AJ39" s="61">
        <f t="shared" si="17"/>
        <v>44865</v>
      </c>
      <c r="AK39" s="61">
        <f t="shared" si="17"/>
        <v>44895</v>
      </c>
      <c r="AL39" s="61">
        <f t="shared" si="17"/>
        <v>44926</v>
      </c>
      <c r="AM39" s="61">
        <f t="shared" si="17"/>
        <v>44957</v>
      </c>
      <c r="AN39" s="61">
        <f t="shared" si="17"/>
        <v>44985</v>
      </c>
      <c r="AO39" s="61">
        <f t="shared" si="17"/>
        <v>45016</v>
      </c>
      <c r="AP39" s="61">
        <f t="shared" si="17"/>
        <v>45046</v>
      </c>
      <c r="AQ39" s="61">
        <f t="shared" si="17"/>
        <v>45077</v>
      </c>
      <c r="AR39" s="61">
        <f t="shared" si="17"/>
        <v>45107</v>
      </c>
      <c r="AS39" s="61">
        <f t="shared" si="17"/>
        <v>45138</v>
      </c>
      <c r="AT39" s="61">
        <f t="shared" si="17"/>
        <v>45169</v>
      </c>
      <c r="AU39" s="61">
        <f t="shared" si="17"/>
        <v>45199</v>
      </c>
      <c r="AV39" s="61">
        <f t="shared" si="17"/>
        <v>45230</v>
      </c>
      <c r="AW39" s="61">
        <f t="shared" si="17"/>
        <v>45260</v>
      </c>
      <c r="AX39" s="61">
        <f t="shared" si="17"/>
        <v>45291</v>
      </c>
    </row>
    <row r="40" spans="1:50" ht="19.5" customHeight="1">
      <c r="A40" s="13" t="s">
        <v>30</v>
      </c>
      <c r="B40" s="36"/>
      <c r="C40" s="14"/>
      <c r="D40" s="142"/>
      <c r="E40" s="391"/>
      <c r="F40" s="405"/>
      <c r="G40" s="375"/>
      <c r="H40" s="392"/>
      <c r="I40" s="439"/>
      <c r="J40" s="670">
        <f t="shared" ref="J40:J74" si="18">SUM(O40:Z40)</f>
        <v>0</v>
      </c>
      <c r="K40" s="427">
        <f t="shared" ref="K40:K74" si="19">SUM(AA40:AL40)</f>
        <v>0</v>
      </c>
      <c r="L40" s="661">
        <f>SUM(AM40:AX40)</f>
        <v>0</v>
      </c>
      <c r="M40" s="459"/>
      <c r="N40" s="443"/>
      <c r="O40" s="229"/>
      <c r="P40" s="27" t="s">
        <v>28</v>
      </c>
      <c r="Q40" s="62"/>
      <c r="R40" s="62"/>
      <c r="S40" s="62"/>
      <c r="T40" s="62"/>
      <c r="U40" s="62"/>
      <c r="V40" s="62"/>
      <c r="W40" s="62"/>
      <c r="X40" s="62"/>
      <c r="Y40" s="62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1:50" ht="19.5" customHeight="1" thickBot="1">
      <c r="A41" s="29" t="s">
        <v>31</v>
      </c>
      <c r="B41" s="63"/>
      <c r="C41" s="63"/>
      <c r="D41" s="149"/>
      <c r="E41" s="391"/>
      <c r="F41" s="405"/>
      <c r="G41" s="375"/>
      <c r="H41" s="392"/>
      <c r="I41" s="439"/>
      <c r="J41" s="670">
        <f t="shared" si="18"/>
        <v>0</v>
      </c>
      <c r="K41" s="427">
        <v>0</v>
      </c>
      <c r="L41" s="661">
        <f t="shared" ref="L41:L74" si="20">SUM(AM41:AX41)</f>
        <v>0</v>
      </c>
      <c r="M41" s="459"/>
      <c r="N41" s="443"/>
      <c r="O41" s="130"/>
      <c r="P41" s="16"/>
      <c r="Q41" s="64"/>
      <c r="R41" s="64"/>
      <c r="S41" s="64"/>
      <c r="T41" s="64"/>
      <c r="U41" s="64"/>
      <c r="V41" s="64"/>
      <c r="W41" s="64"/>
      <c r="X41" s="64"/>
      <c r="Y41" s="64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>
        <v>3000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</row>
    <row r="42" spans="1:50" ht="19.5" hidden="1" customHeight="1">
      <c r="A42" s="29" t="s">
        <v>32</v>
      </c>
      <c r="B42" s="63"/>
      <c r="C42" s="63"/>
      <c r="D42" s="151"/>
      <c r="E42" s="391"/>
      <c r="F42" s="405"/>
      <c r="G42" s="375"/>
      <c r="H42" s="392"/>
      <c r="I42" s="439"/>
      <c r="J42" s="670">
        <f t="shared" si="18"/>
        <v>0</v>
      </c>
      <c r="K42" s="427">
        <f t="shared" si="19"/>
        <v>0</v>
      </c>
      <c r="L42" s="803">
        <f t="shared" si="20"/>
        <v>0</v>
      </c>
      <c r="M42" s="804"/>
      <c r="N42" s="443"/>
      <c r="O42" s="130"/>
      <c r="P42" s="16"/>
      <c r="Q42" s="64"/>
      <c r="R42" s="64"/>
      <c r="S42" s="64"/>
      <c r="T42" s="64"/>
      <c r="U42" s="64"/>
      <c r="V42" s="64"/>
      <c r="W42" s="64"/>
      <c r="X42" s="64"/>
      <c r="Y42" s="64"/>
      <c r="Z42" s="17"/>
      <c r="AA42" s="2"/>
      <c r="AB42" s="58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9.5" customHeight="1" thickBot="1">
      <c r="A43" s="30" t="s">
        <v>14</v>
      </c>
      <c r="B43" s="135" t="s">
        <v>28</v>
      </c>
      <c r="C43" s="31"/>
      <c r="D43" s="150"/>
      <c r="E43" s="577">
        <f t="shared" ref="E43:G43" si="21">+E40+E41</f>
        <v>0</v>
      </c>
      <c r="F43" s="406">
        <f t="shared" si="21"/>
        <v>0</v>
      </c>
      <c r="G43" s="625">
        <f t="shared" si="21"/>
        <v>0</v>
      </c>
      <c r="H43" s="709">
        <f t="shared" ref="H43" si="22">+H40+H41</f>
        <v>0</v>
      </c>
      <c r="I43" s="444"/>
      <c r="J43" s="577">
        <f t="shared" si="18"/>
        <v>0</v>
      </c>
      <c r="K43" s="577">
        <f>+K40+K41</f>
        <v>0</v>
      </c>
      <c r="L43" s="701">
        <f t="shared" ref="L43:M43" si="23">+L40+L41</f>
        <v>0</v>
      </c>
      <c r="M43" s="805">
        <f t="shared" si="23"/>
        <v>0</v>
      </c>
      <c r="N43" s="444"/>
      <c r="O43" s="422">
        <f t="shared" ref="O43:AX43" si="24">SUM(O40:O42)</f>
        <v>0</v>
      </c>
      <c r="P43" s="33">
        <f t="shared" si="24"/>
        <v>0</v>
      </c>
      <c r="Q43" s="33">
        <f t="shared" si="24"/>
        <v>0</v>
      </c>
      <c r="R43" s="33">
        <f t="shared" si="24"/>
        <v>0</v>
      </c>
      <c r="S43" s="33">
        <f t="shared" si="24"/>
        <v>0</v>
      </c>
      <c r="T43" s="33">
        <f t="shared" si="24"/>
        <v>0</v>
      </c>
      <c r="U43" s="33">
        <f t="shared" si="24"/>
        <v>0</v>
      </c>
      <c r="V43" s="33">
        <f t="shared" si="24"/>
        <v>0</v>
      </c>
      <c r="W43" s="33">
        <f t="shared" si="24"/>
        <v>0</v>
      </c>
      <c r="X43" s="33">
        <f t="shared" si="24"/>
        <v>0</v>
      </c>
      <c r="Y43" s="33">
        <f t="shared" si="24"/>
        <v>0</v>
      </c>
      <c r="Z43" s="34">
        <f t="shared" si="24"/>
        <v>0</v>
      </c>
      <c r="AA43" s="34">
        <f t="shared" si="24"/>
        <v>0</v>
      </c>
      <c r="AB43" s="34">
        <f t="shared" si="24"/>
        <v>0</v>
      </c>
      <c r="AC43" s="34">
        <f t="shared" si="24"/>
        <v>0</v>
      </c>
      <c r="AD43" s="34">
        <f t="shared" si="24"/>
        <v>0</v>
      </c>
      <c r="AE43" s="34">
        <f t="shared" si="24"/>
        <v>0</v>
      </c>
      <c r="AF43" s="34">
        <f t="shared" si="24"/>
        <v>0</v>
      </c>
      <c r="AG43" s="34">
        <f t="shared" si="24"/>
        <v>0</v>
      </c>
      <c r="AH43" s="34">
        <f t="shared" si="24"/>
        <v>0</v>
      </c>
      <c r="AI43" s="34">
        <f t="shared" si="24"/>
        <v>0</v>
      </c>
      <c r="AJ43" s="34">
        <f t="shared" si="24"/>
        <v>0</v>
      </c>
      <c r="AK43" s="34">
        <f t="shared" si="24"/>
        <v>0</v>
      </c>
      <c r="AL43" s="34">
        <f t="shared" si="24"/>
        <v>3000</v>
      </c>
      <c r="AM43" s="34">
        <f t="shared" si="24"/>
        <v>0</v>
      </c>
      <c r="AN43" s="34">
        <f t="shared" si="24"/>
        <v>0</v>
      </c>
      <c r="AO43" s="34">
        <f t="shared" si="24"/>
        <v>0</v>
      </c>
      <c r="AP43" s="34">
        <f t="shared" si="24"/>
        <v>0</v>
      </c>
      <c r="AQ43" s="34">
        <f t="shared" si="24"/>
        <v>0</v>
      </c>
      <c r="AR43" s="34">
        <f t="shared" si="24"/>
        <v>0</v>
      </c>
      <c r="AS43" s="34">
        <f t="shared" si="24"/>
        <v>0</v>
      </c>
      <c r="AT43" s="34">
        <f t="shared" si="24"/>
        <v>0</v>
      </c>
      <c r="AU43" s="34">
        <f t="shared" si="24"/>
        <v>0</v>
      </c>
      <c r="AV43" s="34">
        <f t="shared" si="24"/>
        <v>0</v>
      </c>
      <c r="AW43" s="34">
        <f t="shared" si="24"/>
        <v>0</v>
      </c>
      <c r="AX43" s="34">
        <f t="shared" si="24"/>
        <v>0</v>
      </c>
    </row>
    <row r="44" spans="1:50" ht="19.5" customHeight="1">
      <c r="A44" s="29" t="s">
        <v>33</v>
      </c>
      <c r="B44" s="128" t="s">
        <v>28</v>
      </c>
      <c r="C44" s="14"/>
      <c r="D44" s="129"/>
      <c r="E44" s="391"/>
      <c r="F44" s="405"/>
      <c r="G44" s="375"/>
      <c r="H44" s="392"/>
      <c r="I44" s="439"/>
      <c r="J44" s="670">
        <f t="shared" si="18"/>
        <v>0</v>
      </c>
      <c r="K44" s="427">
        <f t="shared" si="19"/>
        <v>0</v>
      </c>
      <c r="L44" s="229">
        <f t="shared" si="20"/>
        <v>0</v>
      </c>
      <c r="M44" s="463"/>
      <c r="N44" s="443"/>
      <c r="O44" s="130"/>
      <c r="P44" s="16"/>
      <c r="Q44" s="64"/>
      <c r="R44" s="64"/>
      <c r="S44" s="64"/>
      <c r="T44" s="64"/>
      <c r="U44" s="64"/>
      <c r="V44" s="64"/>
      <c r="W44" s="64"/>
      <c r="X44" s="64"/>
      <c r="Y44" s="64"/>
      <c r="Z44" s="65"/>
      <c r="AA44" s="18"/>
      <c r="AB44" s="58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30" customHeight="1">
      <c r="A45" s="66" t="s">
        <v>34</v>
      </c>
      <c r="B45" s="67" t="str">
        <f>B22</f>
        <v xml:space="preserve"> Ateliers collectifs bénéficiaires </v>
      </c>
      <c r="C45" s="68"/>
      <c r="D45" s="153"/>
      <c r="E45" s="391"/>
      <c r="F45" s="405"/>
      <c r="G45" s="375"/>
      <c r="H45" s="392"/>
      <c r="I45" s="439"/>
      <c r="J45" s="670">
        <f t="shared" si="18"/>
        <v>0</v>
      </c>
      <c r="K45" s="427">
        <f>+K22*0.5667</f>
        <v>6800.4</v>
      </c>
      <c r="L45" s="661">
        <v>8500</v>
      </c>
      <c r="M45" s="459"/>
      <c r="N45" s="443"/>
      <c r="O45" s="69"/>
      <c r="P45" s="70"/>
      <c r="Q45" s="70">
        <f t="shared" ref="Q45:Z45" si="25">+P$22*0.8</f>
        <v>0</v>
      </c>
      <c r="R45" s="70">
        <f t="shared" si="25"/>
        <v>0</v>
      </c>
      <c r="S45" s="70">
        <f t="shared" si="25"/>
        <v>0</v>
      </c>
      <c r="T45" s="70">
        <f t="shared" si="25"/>
        <v>0</v>
      </c>
      <c r="U45" s="70">
        <f t="shared" si="25"/>
        <v>0</v>
      </c>
      <c r="V45" s="70">
        <f t="shared" si="25"/>
        <v>0</v>
      </c>
      <c r="W45" s="70">
        <f t="shared" si="25"/>
        <v>0</v>
      </c>
      <c r="X45" s="70">
        <f t="shared" si="25"/>
        <v>0</v>
      </c>
      <c r="Y45" s="70">
        <f t="shared" si="25"/>
        <v>0</v>
      </c>
      <c r="Z45" s="70">
        <f t="shared" si="25"/>
        <v>0</v>
      </c>
      <c r="AA45" s="70">
        <f>Z22*0.56666</f>
        <v>1133.3200000000002</v>
      </c>
      <c r="AB45" s="70">
        <f>AA22*0.56</f>
        <v>0</v>
      </c>
      <c r="AC45" s="70">
        <f t="shared" ref="AC45:AL45" si="26">AB22*0.56666</f>
        <v>1133.3200000000002</v>
      </c>
      <c r="AD45" s="70">
        <f t="shared" si="26"/>
        <v>0</v>
      </c>
      <c r="AE45" s="70">
        <f t="shared" si="26"/>
        <v>1133.3200000000002</v>
      </c>
      <c r="AF45" s="70">
        <f t="shared" si="26"/>
        <v>1133.3200000000002</v>
      </c>
      <c r="AG45" s="70">
        <f t="shared" si="26"/>
        <v>0</v>
      </c>
      <c r="AH45" s="70">
        <f t="shared" si="26"/>
        <v>0</v>
      </c>
      <c r="AI45" s="70">
        <f t="shared" si="26"/>
        <v>1133.3200000000002</v>
      </c>
      <c r="AJ45" s="70">
        <f t="shared" si="26"/>
        <v>0</v>
      </c>
      <c r="AK45" s="70">
        <f t="shared" si="26"/>
        <v>1133.3200000000002</v>
      </c>
      <c r="AL45" s="70">
        <f t="shared" si="26"/>
        <v>0</v>
      </c>
      <c r="AM45" s="70">
        <f t="shared" ref="AM45:AX45" si="27">AL22*0.2382</f>
        <v>1786.5</v>
      </c>
      <c r="AN45" s="70">
        <f t="shared" si="27"/>
        <v>1786.5</v>
      </c>
      <c r="AO45" s="70">
        <f t="shared" si="27"/>
        <v>1786.5</v>
      </c>
      <c r="AP45" s="70">
        <f t="shared" si="27"/>
        <v>1786.5</v>
      </c>
      <c r="AQ45" s="70">
        <f t="shared" si="27"/>
        <v>1786.5</v>
      </c>
      <c r="AR45" s="70">
        <f t="shared" si="27"/>
        <v>1786.5</v>
      </c>
      <c r="AS45" s="70">
        <f t="shared" si="27"/>
        <v>1786.5</v>
      </c>
      <c r="AT45" s="70">
        <f t="shared" si="27"/>
        <v>1786.5</v>
      </c>
      <c r="AU45" s="70">
        <f t="shared" si="27"/>
        <v>1786.5</v>
      </c>
      <c r="AV45" s="70">
        <f t="shared" si="27"/>
        <v>1786.5</v>
      </c>
      <c r="AW45" s="70">
        <f t="shared" si="27"/>
        <v>1786.5</v>
      </c>
      <c r="AX45" s="70">
        <f t="shared" si="27"/>
        <v>1786.5</v>
      </c>
    </row>
    <row r="46" spans="1:50" ht="39" customHeight="1">
      <c r="A46" s="202" t="s">
        <v>35</v>
      </c>
      <c r="B46" s="847" t="s">
        <v>85</v>
      </c>
      <c r="C46" s="848"/>
      <c r="D46" s="849"/>
      <c r="E46" s="636"/>
      <c r="F46" s="650"/>
      <c r="G46" s="626"/>
      <c r="H46" s="407"/>
      <c r="I46" s="440"/>
      <c r="J46" s="670">
        <f t="shared" si="18"/>
        <v>0</v>
      </c>
      <c r="K46" s="427">
        <v>7000</v>
      </c>
      <c r="L46" s="661">
        <v>14000</v>
      </c>
      <c r="M46" s="459"/>
      <c r="N46" s="443"/>
      <c r="O46" s="130">
        <v>0</v>
      </c>
      <c r="P46" s="71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71">
        <v>0</v>
      </c>
      <c r="X46" s="71">
        <v>0</v>
      </c>
      <c r="Y46" s="71">
        <v>0</v>
      </c>
      <c r="Z46" s="71">
        <v>0</v>
      </c>
      <c r="AA46" s="16">
        <f t="shared" ref="AA46:AL46" si="28">(AA23+AA24)*0.28</f>
        <v>560</v>
      </c>
      <c r="AB46" s="71">
        <f t="shared" si="28"/>
        <v>560</v>
      </c>
      <c r="AC46" s="71">
        <f t="shared" si="28"/>
        <v>560</v>
      </c>
      <c r="AD46" s="71">
        <f t="shared" si="28"/>
        <v>560</v>
      </c>
      <c r="AE46" s="71">
        <f t="shared" si="28"/>
        <v>560</v>
      </c>
      <c r="AF46" s="71">
        <f t="shared" si="28"/>
        <v>1260.0000000000002</v>
      </c>
      <c r="AG46" s="71">
        <f t="shared" si="28"/>
        <v>0</v>
      </c>
      <c r="AH46" s="71">
        <f t="shared" si="28"/>
        <v>0</v>
      </c>
      <c r="AI46" s="71">
        <f t="shared" si="28"/>
        <v>1260.0000000000002</v>
      </c>
      <c r="AJ46" s="71">
        <f t="shared" si="28"/>
        <v>560</v>
      </c>
      <c r="AK46" s="71">
        <f t="shared" si="28"/>
        <v>560</v>
      </c>
      <c r="AL46" s="71">
        <f t="shared" si="28"/>
        <v>560</v>
      </c>
      <c r="AM46" s="16">
        <v>700</v>
      </c>
      <c r="AN46" s="16">
        <v>700</v>
      </c>
      <c r="AO46" s="16">
        <v>700</v>
      </c>
      <c r="AP46" s="16">
        <v>700</v>
      </c>
      <c r="AQ46" s="16">
        <v>700</v>
      </c>
      <c r="AR46" s="16">
        <v>700</v>
      </c>
      <c r="AS46" s="16">
        <v>700</v>
      </c>
      <c r="AT46" s="16">
        <v>700</v>
      </c>
      <c r="AU46" s="16">
        <v>700</v>
      </c>
      <c r="AV46" s="16">
        <v>700</v>
      </c>
      <c r="AW46" s="16">
        <v>700</v>
      </c>
      <c r="AX46" s="16">
        <v>700</v>
      </c>
    </row>
    <row r="47" spans="1:50" ht="39" customHeight="1">
      <c r="A47" s="202" t="s">
        <v>36</v>
      </c>
      <c r="B47" s="850" t="str">
        <f>B25</f>
        <v xml:space="preserve">Cures Remise en Santé </v>
      </c>
      <c r="C47" s="848"/>
      <c r="D47" s="849"/>
      <c r="E47" s="636"/>
      <c r="F47" s="650"/>
      <c r="G47" s="626"/>
      <c r="H47" s="407"/>
      <c r="I47" s="440"/>
      <c r="J47" s="670">
        <f t="shared" si="18"/>
        <v>4000</v>
      </c>
      <c r="K47" s="427">
        <f>SUM(AA47:AL47)</f>
        <v>29165.5</v>
      </c>
      <c r="L47" s="663">
        <f>+L25*0.8333</f>
        <v>33332</v>
      </c>
      <c r="M47" s="686"/>
      <c r="N47" s="447"/>
      <c r="O47" s="130"/>
      <c r="P47" s="16"/>
      <c r="Q47" s="64"/>
      <c r="R47" s="64"/>
      <c r="S47" s="64"/>
      <c r="T47" s="64"/>
      <c r="U47" s="64"/>
      <c r="V47" s="64"/>
      <c r="W47" s="64">
        <f>W25*83.33/100</f>
        <v>0</v>
      </c>
      <c r="X47" s="64">
        <f>X25*80/100</f>
        <v>2400</v>
      </c>
      <c r="Y47" s="126">
        <f>Y25*80/100</f>
        <v>800</v>
      </c>
      <c r="Z47" s="126">
        <f>Z25*80/100</f>
        <v>800</v>
      </c>
      <c r="AA47" s="64">
        <f t="shared" ref="AA47:AX47" si="29">AA25*83.33/100</f>
        <v>2083.25</v>
      </c>
      <c r="AB47" s="64">
        <f t="shared" si="29"/>
        <v>2083.25</v>
      </c>
      <c r="AC47" s="64">
        <f t="shared" si="29"/>
        <v>3124.875</v>
      </c>
      <c r="AD47" s="64">
        <f t="shared" si="29"/>
        <v>3124.875</v>
      </c>
      <c r="AE47" s="64">
        <f t="shared" si="29"/>
        <v>3124.875</v>
      </c>
      <c r="AF47" s="64">
        <f t="shared" si="29"/>
        <v>3124.875</v>
      </c>
      <c r="AG47" s="64">
        <f t="shared" si="29"/>
        <v>0</v>
      </c>
      <c r="AH47" s="64">
        <f t="shared" si="29"/>
        <v>0</v>
      </c>
      <c r="AI47" s="64">
        <f t="shared" si="29"/>
        <v>3124.875</v>
      </c>
      <c r="AJ47" s="64">
        <f t="shared" si="29"/>
        <v>3124.875</v>
      </c>
      <c r="AK47" s="64">
        <f t="shared" si="29"/>
        <v>3124.875</v>
      </c>
      <c r="AL47" s="64">
        <f t="shared" si="29"/>
        <v>3124.875</v>
      </c>
      <c r="AM47" s="64">
        <f t="shared" si="29"/>
        <v>0</v>
      </c>
      <c r="AN47" s="64">
        <f t="shared" si="29"/>
        <v>8333</v>
      </c>
      <c r="AO47" s="64">
        <f t="shared" si="29"/>
        <v>8333</v>
      </c>
      <c r="AP47" s="64">
        <f t="shared" si="29"/>
        <v>8333</v>
      </c>
      <c r="AQ47" s="64">
        <f t="shared" si="29"/>
        <v>8333</v>
      </c>
      <c r="AR47" s="64">
        <f t="shared" si="29"/>
        <v>8333</v>
      </c>
      <c r="AS47" s="64">
        <f t="shared" si="29"/>
        <v>8333</v>
      </c>
      <c r="AT47" s="64">
        <f t="shared" si="29"/>
        <v>8333</v>
      </c>
      <c r="AU47" s="64">
        <f t="shared" si="29"/>
        <v>8333</v>
      </c>
      <c r="AV47" s="64">
        <f t="shared" si="29"/>
        <v>8333</v>
      </c>
      <c r="AW47" s="64">
        <f t="shared" si="29"/>
        <v>8333</v>
      </c>
      <c r="AX47" s="64">
        <f t="shared" si="29"/>
        <v>8333</v>
      </c>
    </row>
    <row r="48" spans="1:50" ht="46.9" customHeight="1">
      <c r="A48" s="203" t="s">
        <v>37</v>
      </c>
      <c r="B48" s="847" t="s">
        <v>86</v>
      </c>
      <c r="C48" s="848"/>
      <c r="D48" s="849"/>
      <c r="E48" s="637">
        <v>4000</v>
      </c>
      <c r="F48" s="408">
        <f>+'2 - Plan de Trésorerie'!F49</f>
        <v>28000</v>
      </c>
      <c r="G48" s="627">
        <f>+'2 - Plan de Trésorerie'!G49</f>
        <v>2400</v>
      </c>
      <c r="H48" s="409"/>
      <c r="I48" s="454"/>
      <c r="J48" s="575">
        <v>0</v>
      </c>
      <c r="K48" s="428"/>
      <c r="L48" s="659"/>
      <c r="M48" s="679"/>
      <c r="N48" s="443"/>
      <c r="O48" s="130"/>
      <c r="P48" s="16"/>
      <c r="Q48" s="64"/>
      <c r="R48" s="64"/>
      <c r="S48" s="64"/>
      <c r="T48" s="64"/>
      <c r="U48" s="64"/>
      <c r="V48" s="64"/>
      <c r="W48" s="64"/>
      <c r="X48" s="64"/>
      <c r="Y48" s="126"/>
      <c r="Z48" s="126">
        <v>4000</v>
      </c>
      <c r="AA48" s="126">
        <v>2000</v>
      </c>
      <c r="AB48" s="126">
        <v>2000</v>
      </c>
      <c r="AC48" s="126">
        <v>2000</v>
      </c>
      <c r="AD48" s="126">
        <v>2000</v>
      </c>
      <c r="AE48" s="126">
        <v>2000</v>
      </c>
      <c r="AF48" s="126">
        <v>2000</v>
      </c>
      <c r="AG48" s="126">
        <v>2000</v>
      </c>
      <c r="AH48" s="126">
        <v>2000</v>
      </c>
      <c r="AI48" s="126">
        <v>2000</v>
      </c>
      <c r="AJ48" s="126">
        <v>2000</v>
      </c>
      <c r="AK48" s="126">
        <v>2000</v>
      </c>
      <c r="AL48" s="126">
        <v>2000</v>
      </c>
      <c r="AM48" s="126">
        <v>2000</v>
      </c>
      <c r="AN48" s="126">
        <v>2000</v>
      </c>
      <c r="AO48" s="126">
        <v>2000</v>
      </c>
      <c r="AP48" s="126">
        <v>2000</v>
      </c>
      <c r="AQ48" s="126">
        <v>2000</v>
      </c>
      <c r="AR48" s="126">
        <v>2000</v>
      </c>
      <c r="AS48" s="126">
        <v>2000</v>
      </c>
      <c r="AT48" s="126">
        <v>2000</v>
      </c>
      <c r="AU48" s="126">
        <v>2000</v>
      </c>
      <c r="AV48" s="126">
        <v>2000</v>
      </c>
      <c r="AW48" s="126">
        <v>2000</v>
      </c>
      <c r="AX48" s="126">
        <v>2000</v>
      </c>
    </row>
    <row r="49" spans="1:50" s="133" customFormat="1" ht="28.5" customHeight="1">
      <c r="A49" s="204" t="s">
        <v>73</v>
      </c>
      <c r="B49" s="841" t="s">
        <v>112</v>
      </c>
      <c r="C49" s="841"/>
      <c r="D49" s="841"/>
      <c r="E49" s="638">
        <v>0</v>
      </c>
      <c r="F49" s="408">
        <f>+'2 - Plan de Trésorerie'!F50</f>
        <v>45000</v>
      </c>
      <c r="G49" s="627">
        <f>+'2 - Plan de Trésorerie'!G50</f>
        <v>0</v>
      </c>
      <c r="H49" s="410"/>
      <c r="I49" s="455"/>
      <c r="J49" s="575">
        <v>0</v>
      </c>
      <c r="K49" s="428"/>
      <c r="L49" s="659"/>
      <c r="M49" s="679"/>
      <c r="N49" s="443"/>
      <c r="O49" s="130"/>
      <c r="P49" s="71"/>
      <c r="Q49" s="131"/>
      <c r="R49" s="131"/>
      <c r="S49" s="131"/>
      <c r="T49" s="131"/>
      <c r="U49" s="131"/>
      <c r="V49" s="131"/>
      <c r="W49" s="131"/>
      <c r="X49" s="131"/>
      <c r="Y49" s="131"/>
      <c r="Z49" s="132"/>
      <c r="AA49" s="132">
        <v>0</v>
      </c>
      <c r="AB49" s="132"/>
      <c r="AC49" s="132">
        <v>15000</v>
      </c>
      <c r="AD49" s="132"/>
      <c r="AE49" s="132"/>
      <c r="AF49" s="132">
        <v>15000</v>
      </c>
      <c r="AG49" s="132"/>
      <c r="AH49" s="132"/>
      <c r="AI49" s="132">
        <v>15000</v>
      </c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</row>
    <row r="50" spans="1:50" ht="19.5" customHeight="1">
      <c r="A50" s="205" t="s">
        <v>87</v>
      </c>
      <c r="B50" s="189" t="s">
        <v>111</v>
      </c>
      <c r="C50" s="190"/>
      <c r="D50" s="206"/>
      <c r="E50" s="393">
        <v>46445</v>
      </c>
      <c r="F50" s="651">
        <f>+'2 - Plan de Trésorerie'!F51</f>
        <v>51501</v>
      </c>
      <c r="G50" s="627">
        <f>+'2 - Plan de Trésorerie'!G51</f>
        <v>0</v>
      </c>
      <c r="H50" s="394"/>
      <c r="I50" s="439"/>
      <c r="J50" s="575">
        <v>0</v>
      </c>
      <c r="K50" s="428"/>
      <c r="L50" s="659"/>
      <c r="M50" s="679"/>
      <c r="N50" s="443"/>
      <c r="O50" s="72"/>
      <c r="P50" s="73"/>
      <c r="Q50" s="74"/>
      <c r="R50" s="74"/>
      <c r="S50" s="74"/>
      <c r="T50" s="168" t="s">
        <v>28</v>
      </c>
      <c r="U50" s="74">
        <v>11500</v>
      </c>
      <c r="V50" s="74" t="s">
        <v>28</v>
      </c>
      <c r="W50" s="74">
        <v>34944.79</v>
      </c>
      <c r="X50" s="74"/>
      <c r="Y50" s="74"/>
      <c r="Z50" s="75"/>
      <c r="AA50" s="75"/>
      <c r="AB50" s="75"/>
      <c r="AC50" s="75"/>
      <c r="AD50" s="75">
        <v>16556</v>
      </c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</row>
    <row r="51" spans="1:50" ht="19.5" customHeight="1">
      <c r="A51" s="207" t="s">
        <v>38</v>
      </c>
      <c r="B51" s="184" t="s">
        <v>105</v>
      </c>
      <c r="C51" s="185"/>
      <c r="D51" s="208"/>
      <c r="E51" s="391"/>
      <c r="F51" s="646"/>
      <c r="G51" s="375"/>
      <c r="H51" s="392"/>
      <c r="I51" s="439"/>
      <c r="J51" s="670">
        <f t="shared" si="18"/>
        <v>4700</v>
      </c>
      <c r="K51" s="688">
        <f t="shared" si="19"/>
        <v>16935</v>
      </c>
      <c r="L51" s="661">
        <v>18500</v>
      </c>
      <c r="M51" s="459"/>
      <c r="N51" s="443"/>
      <c r="O51" s="76"/>
      <c r="P51" s="77"/>
      <c r="Q51" s="77"/>
      <c r="R51" s="77">
        <v>0</v>
      </c>
      <c r="S51" s="77">
        <v>0</v>
      </c>
      <c r="T51" s="77">
        <v>0</v>
      </c>
      <c r="U51" s="77">
        <v>0</v>
      </c>
      <c r="V51" s="77">
        <v>0</v>
      </c>
      <c r="W51" s="77">
        <f>W35</f>
        <v>671</v>
      </c>
      <c r="X51" s="77">
        <f t="shared" ref="X51:Z51" si="30">X35</f>
        <v>1343</v>
      </c>
      <c r="Y51" s="77">
        <f t="shared" si="30"/>
        <v>1343</v>
      </c>
      <c r="Z51" s="77">
        <f t="shared" si="30"/>
        <v>1343</v>
      </c>
      <c r="AA51" s="78">
        <f>AA35</f>
        <v>1343</v>
      </c>
      <c r="AB51" s="78">
        <f t="shared" ref="AB51:AH51" si="31">AB35</f>
        <v>1343</v>
      </c>
      <c r="AC51" s="78">
        <f t="shared" si="31"/>
        <v>1343</v>
      </c>
      <c r="AD51" s="78">
        <f t="shared" si="31"/>
        <v>1343</v>
      </c>
      <c r="AE51" s="78">
        <f t="shared" si="31"/>
        <v>1343</v>
      </c>
      <c r="AF51" s="78">
        <f t="shared" si="31"/>
        <v>1343</v>
      </c>
      <c r="AG51" s="78">
        <f t="shared" si="31"/>
        <v>1343</v>
      </c>
      <c r="AH51" s="78">
        <f t="shared" si="31"/>
        <v>1343</v>
      </c>
      <c r="AI51" s="78">
        <v>1451</v>
      </c>
      <c r="AJ51" s="78">
        <v>1580</v>
      </c>
      <c r="AK51" s="78">
        <v>1580</v>
      </c>
      <c r="AL51" s="78">
        <v>1580</v>
      </c>
      <c r="AM51" s="78">
        <v>600</v>
      </c>
      <c r="AN51" s="78">
        <v>600</v>
      </c>
      <c r="AO51" s="78">
        <v>600</v>
      </c>
      <c r="AP51" s="78">
        <v>600</v>
      </c>
      <c r="AQ51" s="78">
        <v>600</v>
      </c>
      <c r="AR51" s="78">
        <v>600</v>
      </c>
      <c r="AS51" s="78">
        <v>600</v>
      </c>
      <c r="AT51" s="78">
        <v>600</v>
      </c>
      <c r="AU51" s="78">
        <v>600</v>
      </c>
      <c r="AV51" s="78">
        <v>600</v>
      </c>
      <c r="AW51" s="78">
        <v>600</v>
      </c>
      <c r="AX51" s="78">
        <v>600</v>
      </c>
    </row>
    <row r="52" spans="1:50" ht="19.5" customHeight="1">
      <c r="A52" s="209" t="s">
        <v>87</v>
      </c>
      <c r="B52" s="210" t="s">
        <v>40</v>
      </c>
      <c r="C52" s="211"/>
      <c r="D52" s="212"/>
      <c r="E52" s="391"/>
      <c r="F52" s="646"/>
      <c r="G52" s="375"/>
      <c r="H52" s="392"/>
      <c r="I52" s="439"/>
      <c r="J52" s="670">
        <f t="shared" si="18"/>
        <v>1000</v>
      </c>
      <c r="K52" s="688">
        <f t="shared" si="19"/>
        <v>3000</v>
      </c>
      <c r="L52" s="661">
        <f t="shared" si="20"/>
        <v>3000</v>
      </c>
      <c r="M52" s="459"/>
      <c r="N52" s="443"/>
      <c r="O52" s="79">
        <v>0</v>
      </c>
      <c r="P52" s="80">
        <v>0</v>
      </c>
      <c r="Q52" s="81">
        <v>0</v>
      </c>
      <c r="R52" s="81">
        <v>0</v>
      </c>
      <c r="S52" s="81">
        <v>0</v>
      </c>
      <c r="T52" s="81">
        <v>0</v>
      </c>
      <c r="U52" s="81">
        <v>0</v>
      </c>
      <c r="V52" s="81">
        <v>0</v>
      </c>
      <c r="W52" s="81">
        <v>250</v>
      </c>
      <c r="X52" s="81">
        <v>250</v>
      </c>
      <c r="Y52" s="81">
        <v>250</v>
      </c>
      <c r="Z52" s="82">
        <v>250</v>
      </c>
      <c r="AA52" s="82">
        <v>250</v>
      </c>
      <c r="AB52" s="82">
        <v>250</v>
      </c>
      <c r="AC52" s="82">
        <v>250</v>
      </c>
      <c r="AD52" s="82">
        <v>250</v>
      </c>
      <c r="AE52" s="82">
        <v>250</v>
      </c>
      <c r="AF52" s="82">
        <v>250</v>
      </c>
      <c r="AG52" s="82">
        <v>250</v>
      </c>
      <c r="AH52" s="82">
        <v>250</v>
      </c>
      <c r="AI52" s="82">
        <v>250</v>
      </c>
      <c r="AJ52" s="82">
        <v>250</v>
      </c>
      <c r="AK52" s="82">
        <v>250</v>
      </c>
      <c r="AL52" s="82">
        <v>250</v>
      </c>
      <c r="AM52" s="82">
        <v>250</v>
      </c>
      <c r="AN52" s="82">
        <v>250</v>
      </c>
      <c r="AO52" s="82">
        <v>250</v>
      </c>
      <c r="AP52" s="82">
        <v>250</v>
      </c>
      <c r="AQ52" s="82">
        <v>250</v>
      </c>
      <c r="AR52" s="82">
        <v>250</v>
      </c>
      <c r="AS52" s="82">
        <v>250</v>
      </c>
      <c r="AT52" s="82">
        <v>250</v>
      </c>
      <c r="AU52" s="82">
        <v>250</v>
      </c>
      <c r="AV52" s="82">
        <v>250</v>
      </c>
      <c r="AW52" s="82">
        <v>250</v>
      </c>
      <c r="AX52" s="82">
        <v>250</v>
      </c>
    </row>
    <row r="53" spans="1:50" ht="19.5" hidden="1" customHeight="1">
      <c r="A53" s="29" t="s">
        <v>39</v>
      </c>
      <c r="B53" s="210" t="s">
        <v>40</v>
      </c>
      <c r="C53" s="14"/>
      <c r="D53" s="129"/>
      <c r="E53" s="391"/>
      <c r="F53" s="646"/>
      <c r="G53" s="375"/>
      <c r="H53" s="392"/>
      <c r="I53" s="439"/>
      <c r="J53" s="670">
        <f t="shared" si="18"/>
        <v>0</v>
      </c>
      <c r="K53" s="688">
        <f t="shared" si="19"/>
        <v>0</v>
      </c>
      <c r="L53" s="661">
        <f t="shared" si="20"/>
        <v>0</v>
      </c>
      <c r="M53" s="459"/>
      <c r="N53" s="443"/>
      <c r="O53" s="130"/>
      <c r="P53" s="16"/>
      <c r="Q53" s="64"/>
      <c r="R53" s="64"/>
      <c r="S53" s="64"/>
      <c r="T53" s="64"/>
      <c r="U53" s="64"/>
      <c r="V53" s="64"/>
      <c r="W53" s="64"/>
      <c r="X53" s="64"/>
      <c r="Y53" s="64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</row>
    <row r="54" spans="1:50" ht="19.5" hidden="1" customHeight="1">
      <c r="A54" s="29" t="s">
        <v>41</v>
      </c>
      <c r="B54" s="210" t="s">
        <v>40</v>
      </c>
      <c r="C54" s="14"/>
      <c r="D54" s="129"/>
      <c r="E54" s="391"/>
      <c r="F54" s="646"/>
      <c r="G54" s="375"/>
      <c r="H54" s="392"/>
      <c r="I54" s="439"/>
      <c r="J54" s="670">
        <f t="shared" si="18"/>
        <v>0</v>
      </c>
      <c r="K54" s="688">
        <f t="shared" si="19"/>
        <v>0</v>
      </c>
      <c r="L54" s="661">
        <f t="shared" si="20"/>
        <v>0</v>
      </c>
      <c r="M54" s="459"/>
      <c r="N54" s="443"/>
      <c r="O54" s="130"/>
      <c r="P54" s="16"/>
      <c r="Q54" s="64"/>
      <c r="R54" s="64"/>
      <c r="S54" s="64"/>
      <c r="T54" s="64"/>
      <c r="U54" s="64"/>
      <c r="V54" s="64"/>
      <c r="W54" s="64"/>
      <c r="X54" s="64"/>
      <c r="Y54" s="64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</row>
    <row r="55" spans="1:50" ht="19.5" hidden="1" customHeight="1">
      <c r="A55" s="29" t="s">
        <v>42</v>
      </c>
      <c r="B55" s="210" t="s">
        <v>40</v>
      </c>
      <c r="C55" s="14"/>
      <c r="D55" s="129"/>
      <c r="E55" s="391"/>
      <c r="F55" s="646"/>
      <c r="G55" s="375"/>
      <c r="H55" s="392"/>
      <c r="I55" s="439"/>
      <c r="J55" s="670">
        <f t="shared" si="18"/>
        <v>0</v>
      </c>
      <c r="K55" s="688">
        <f t="shared" si="19"/>
        <v>0</v>
      </c>
      <c r="L55" s="661">
        <f t="shared" si="20"/>
        <v>0</v>
      </c>
      <c r="M55" s="459"/>
      <c r="N55" s="443"/>
      <c r="O55" s="130"/>
      <c r="P55" s="16"/>
      <c r="Q55" s="64"/>
      <c r="R55" s="64"/>
      <c r="S55" s="64"/>
      <c r="T55" s="64"/>
      <c r="U55" s="64"/>
      <c r="V55" s="64"/>
      <c r="W55" s="64"/>
      <c r="X55" s="64"/>
      <c r="Y55" s="64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</row>
    <row r="56" spans="1:50" ht="19.5" hidden="1" customHeight="1">
      <c r="A56" s="29" t="s">
        <v>43</v>
      </c>
      <c r="B56" s="210" t="s">
        <v>40</v>
      </c>
      <c r="C56" s="14"/>
      <c r="D56" s="129"/>
      <c r="E56" s="391"/>
      <c r="F56" s="646"/>
      <c r="G56" s="375"/>
      <c r="H56" s="392"/>
      <c r="I56" s="439"/>
      <c r="J56" s="670">
        <f t="shared" si="18"/>
        <v>0</v>
      </c>
      <c r="K56" s="688">
        <f t="shared" si="19"/>
        <v>0</v>
      </c>
      <c r="L56" s="661">
        <f t="shared" si="20"/>
        <v>0</v>
      </c>
      <c r="M56" s="459"/>
      <c r="N56" s="443"/>
      <c r="O56" s="130"/>
      <c r="P56" s="16"/>
      <c r="Q56" s="64"/>
      <c r="R56" s="64"/>
      <c r="S56" s="64"/>
      <c r="T56" s="64"/>
      <c r="U56" s="64"/>
      <c r="V56" s="64"/>
      <c r="W56" s="64"/>
      <c r="X56" s="64"/>
      <c r="Y56" s="64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</row>
    <row r="57" spans="1:50" ht="19.5" hidden="1" customHeight="1">
      <c r="A57" s="29" t="s">
        <v>44</v>
      </c>
      <c r="B57" s="210" t="s">
        <v>40</v>
      </c>
      <c r="C57" s="14"/>
      <c r="D57" s="129"/>
      <c r="E57" s="391"/>
      <c r="F57" s="646"/>
      <c r="G57" s="375"/>
      <c r="H57" s="392"/>
      <c r="I57" s="439"/>
      <c r="J57" s="670">
        <f t="shared" si="18"/>
        <v>0</v>
      </c>
      <c r="K57" s="688">
        <f t="shared" si="19"/>
        <v>0</v>
      </c>
      <c r="L57" s="661">
        <f t="shared" si="20"/>
        <v>0</v>
      </c>
      <c r="M57" s="459"/>
      <c r="N57" s="443"/>
      <c r="O57" s="130"/>
      <c r="P57" s="16"/>
      <c r="Q57" s="64"/>
      <c r="R57" s="64"/>
      <c r="S57" s="64"/>
      <c r="T57" s="64"/>
      <c r="U57" s="64"/>
      <c r="V57" s="64"/>
      <c r="W57" s="64"/>
      <c r="X57" s="64"/>
      <c r="Y57" s="64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</row>
    <row r="58" spans="1:50" ht="19.5" hidden="1" customHeight="1">
      <c r="A58" s="29" t="s">
        <v>45</v>
      </c>
      <c r="B58" s="210" t="s">
        <v>40</v>
      </c>
      <c r="C58" s="14"/>
      <c r="D58" s="129"/>
      <c r="E58" s="391"/>
      <c r="F58" s="646"/>
      <c r="G58" s="375"/>
      <c r="H58" s="392"/>
      <c r="I58" s="439"/>
      <c r="J58" s="670">
        <f t="shared" si="18"/>
        <v>0</v>
      </c>
      <c r="K58" s="688">
        <f t="shared" si="19"/>
        <v>0</v>
      </c>
      <c r="L58" s="661">
        <f t="shared" si="20"/>
        <v>0</v>
      </c>
      <c r="M58" s="459"/>
      <c r="N58" s="443"/>
      <c r="O58" s="130"/>
      <c r="P58" s="16"/>
      <c r="Q58" s="64"/>
      <c r="R58" s="64"/>
      <c r="S58" s="64"/>
      <c r="T58" s="64"/>
      <c r="U58" s="64"/>
      <c r="V58" s="64"/>
      <c r="W58" s="64"/>
      <c r="X58" s="64"/>
      <c r="Y58" s="64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</row>
    <row r="59" spans="1:50" ht="19.5" hidden="1" customHeight="1">
      <c r="A59" s="29" t="s">
        <v>46</v>
      </c>
      <c r="B59" s="210" t="s">
        <v>40</v>
      </c>
      <c r="C59" s="14"/>
      <c r="D59" s="129"/>
      <c r="E59" s="391"/>
      <c r="F59" s="646"/>
      <c r="G59" s="375"/>
      <c r="H59" s="392"/>
      <c r="I59" s="439"/>
      <c r="J59" s="670">
        <f t="shared" si="18"/>
        <v>0</v>
      </c>
      <c r="K59" s="688">
        <f t="shared" si="19"/>
        <v>0</v>
      </c>
      <c r="L59" s="661">
        <f t="shared" si="20"/>
        <v>0</v>
      </c>
      <c r="M59" s="459"/>
      <c r="N59" s="443"/>
      <c r="O59" s="130"/>
      <c r="P59" s="16"/>
      <c r="Q59" s="64"/>
      <c r="R59" s="64"/>
      <c r="S59" s="64"/>
      <c r="T59" s="64"/>
      <c r="U59" s="64"/>
      <c r="V59" s="64"/>
      <c r="W59" s="64"/>
      <c r="X59" s="64"/>
      <c r="Y59" s="64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</row>
    <row r="60" spans="1:50" ht="19.5" hidden="1" customHeight="1">
      <c r="A60" s="29" t="s">
        <v>47</v>
      </c>
      <c r="B60" s="210" t="s">
        <v>40</v>
      </c>
      <c r="C60" s="14"/>
      <c r="D60" s="129"/>
      <c r="E60" s="391"/>
      <c r="F60" s="646"/>
      <c r="G60" s="375"/>
      <c r="H60" s="392"/>
      <c r="I60" s="439"/>
      <c r="J60" s="670">
        <f t="shared" si="18"/>
        <v>0</v>
      </c>
      <c r="K60" s="688">
        <f t="shared" si="19"/>
        <v>0</v>
      </c>
      <c r="L60" s="661">
        <f t="shared" si="20"/>
        <v>0</v>
      </c>
      <c r="M60" s="459"/>
      <c r="N60" s="443"/>
      <c r="O60" s="130"/>
      <c r="P60" s="16"/>
      <c r="Q60" s="64"/>
      <c r="R60" s="64"/>
      <c r="S60" s="64"/>
      <c r="T60" s="64"/>
      <c r="U60" s="64"/>
      <c r="V60" s="64"/>
      <c r="W60" s="64"/>
      <c r="X60" s="64"/>
      <c r="Y60" s="64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</row>
    <row r="61" spans="1:50" ht="19.5" hidden="1" customHeight="1">
      <c r="A61" s="29" t="s">
        <v>48</v>
      </c>
      <c r="B61" s="210" t="s">
        <v>40</v>
      </c>
      <c r="C61" s="14"/>
      <c r="D61" s="129"/>
      <c r="E61" s="391"/>
      <c r="F61" s="646"/>
      <c r="G61" s="375"/>
      <c r="H61" s="392"/>
      <c r="I61" s="439"/>
      <c r="J61" s="670">
        <f t="shared" si="18"/>
        <v>0</v>
      </c>
      <c r="K61" s="688">
        <f t="shared" si="19"/>
        <v>0</v>
      </c>
      <c r="L61" s="661">
        <f t="shared" si="20"/>
        <v>0</v>
      </c>
      <c r="M61" s="459"/>
      <c r="N61" s="443"/>
      <c r="O61" s="130"/>
      <c r="P61" s="16"/>
      <c r="Q61" s="64"/>
      <c r="R61" s="64"/>
      <c r="S61" s="64"/>
      <c r="T61" s="64"/>
      <c r="U61" s="64"/>
      <c r="V61" s="64"/>
      <c r="W61" s="64"/>
      <c r="X61" s="64"/>
      <c r="Y61" s="64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</row>
    <row r="62" spans="1:50" ht="19.5" hidden="1" customHeight="1">
      <c r="A62" s="29" t="s">
        <v>49</v>
      </c>
      <c r="B62" s="210" t="s">
        <v>40</v>
      </c>
      <c r="C62" s="14"/>
      <c r="D62" s="129"/>
      <c r="E62" s="391"/>
      <c r="F62" s="646"/>
      <c r="G62" s="375"/>
      <c r="H62" s="392"/>
      <c r="I62" s="439"/>
      <c r="J62" s="670">
        <f t="shared" si="18"/>
        <v>0</v>
      </c>
      <c r="K62" s="688">
        <f t="shared" si="19"/>
        <v>0</v>
      </c>
      <c r="L62" s="661">
        <f t="shared" si="20"/>
        <v>0</v>
      </c>
      <c r="M62" s="459"/>
      <c r="N62" s="443"/>
      <c r="O62" s="130"/>
      <c r="P62" s="16"/>
      <c r="Q62" s="64"/>
      <c r="R62" s="64"/>
      <c r="S62" s="64"/>
      <c r="T62" s="64"/>
      <c r="U62" s="64"/>
      <c r="V62" s="64"/>
      <c r="W62" s="64"/>
      <c r="X62" s="64"/>
      <c r="Y62" s="64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</row>
    <row r="63" spans="1:50" ht="19.5" hidden="1" customHeight="1">
      <c r="A63" s="29" t="s">
        <v>50</v>
      </c>
      <c r="B63" s="210" t="s">
        <v>40</v>
      </c>
      <c r="C63" s="14"/>
      <c r="D63" s="129"/>
      <c r="E63" s="391"/>
      <c r="F63" s="646"/>
      <c r="G63" s="375"/>
      <c r="H63" s="392"/>
      <c r="I63" s="439"/>
      <c r="J63" s="670">
        <f t="shared" si="18"/>
        <v>0</v>
      </c>
      <c r="K63" s="688">
        <f t="shared" si="19"/>
        <v>0</v>
      </c>
      <c r="L63" s="661">
        <f t="shared" si="20"/>
        <v>0</v>
      </c>
      <c r="M63" s="459"/>
      <c r="N63" s="443"/>
      <c r="O63" s="130"/>
      <c r="P63" s="16"/>
      <c r="Q63" s="64"/>
      <c r="R63" s="64"/>
      <c r="S63" s="64"/>
      <c r="T63" s="64"/>
      <c r="U63" s="64"/>
      <c r="V63" s="64"/>
      <c r="W63" s="64"/>
      <c r="X63" s="64"/>
      <c r="Y63" s="64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</row>
    <row r="64" spans="1:50" ht="19.5" customHeight="1">
      <c r="A64" s="213" t="s">
        <v>106</v>
      </c>
      <c r="B64" s="210" t="s">
        <v>113</v>
      </c>
      <c r="C64" s="174"/>
      <c r="D64" s="214"/>
      <c r="E64" s="391"/>
      <c r="F64" s="646"/>
      <c r="G64" s="375"/>
      <c r="H64" s="392"/>
      <c r="I64" s="439"/>
      <c r="J64" s="670">
        <f t="shared" si="18"/>
        <v>500</v>
      </c>
      <c r="K64" s="688">
        <f t="shared" si="19"/>
        <v>2000</v>
      </c>
      <c r="L64" s="661">
        <v>2000</v>
      </c>
      <c r="M64" s="459"/>
      <c r="N64" s="443"/>
      <c r="O64" s="130"/>
      <c r="P64" s="16"/>
      <c r="Q64" s="64"/>
      <c r="R64" s="64"/>
      <c r="S64" s="64"/>
      <c r="T64" s="64"/>
      <c r="U64" s="64"/>
      <c r="V64" s="64"/>
      <c r="W64" s="64">
        <v>25</v>
      </c>
      <c r="X64" s="64">
        <v>25</v>
      </c>
      <c r="Y64" s="64">
        <v>25</v>
      </c>
      <c r="Z64" s="65">
        <v>425</v>
      </c>
      <c r="AA64" s="65">
        <v>167</v>
      </c>
      <c r="AB64" s="65">
        <v>167</v>
      </c>
      <c r="AC64" s="65">
        <v>167</v>
      </c>
      <c r="AD64" s="65">
        <v>167</v>
      </c>
      <c r="AE64" s="65">
        <v>167</v>
      </c>
      <c r="AF64" s="65">
        <v>167</v>
      </c>
      <c r="AG64" s="65">
        <v>167</v>
      </c>
      <c r="AH64" s="65">
        <v>167</v>
      </c>
      <c r="AI64" s="65">
        <v>167</v>
      </c>
      <c r="AJ64" s="65">
        <v>167</v>
      </c>
      <c r="AK64" s="65">
        <v>167</v>
      </c>
      <c r="AL64" s="65">
        <v>163</v>
      </c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</row>
    <row r="65" spans="1:60" s="170" customFormat="1" ht="19.5" customHeight="1">
      <c r="A65" s="209" t="s">
        <v>87</v>
      </c>
      <c r="B65" s="320" t="s">
        <v>167</v>
      </c>
      <c r="C65" s="214"/>
      <c r="D65" s="214"/>
      <c r="E65" s="393">
        <v>0</v>
      </c>
      <c r="F65" s="411">
        <f>+'2 - Plan de Trésorerie'!F66</f>
        <v>33000</v>
      </c>
      <c r="G65" s="385">
        <f>+'2 - Plan de Trésorerie'!G66</f>
        <v>0</v>
      </c>
      <c r="H65" s="394"/>
      <c r="I65" s="439"/>
      <c r="J65" s="575">
        <v>0</v>
      </c>
      <c r="K65" s="428"/>
      <c r="L65" s="659"/>
      <c r="M65" s="679"/>
      <c r="N65" s="443"/>
      <c r="O65" s="130"/>
      <c r="P65" s="71"/>
      <c r="Q65" s="131"/>
      <c r="R65" s="131"/>
      <c r="S65" s="131"/>
      <c r="T65" s="131"/>
      <c r="U65" s="131"/>
      <c r="V65" s="131"/>
      <c r="W65" s="131"/>
      <c r="X65" s="131"/>
      <c r="Y65" s="131"/>
      <c r="Z65" s="232"/>
      <c r="AA65" s="232"/>
      <c r="AB65" s="232">
        <v>11000</v>
      </c>
      <c r="AC65" s="232"/>
      <c r="AD65" s="232"/>
      <c r="AE65" s="232">
        <v>11000</v>
      </c>
      <c r="AF65" s="232"/>
      <c r="AG65" s="232"/>
      <c r="AH65" s="232"/>
      <c r="AI65" s="232">
        <v>11000</v>
      </c>
      <c r="AJ65" s="232"/>
      <c r="AK65" s="232"/>
      <c r="AL65" s="232"/>
      <c r="AM65" s="232"/>
      <c r="AN65" s="232"/>
      <c r="AO65" s="232"/>
      <c r="AP65" s="232"/>
      <c r="AQ65" s="232"/>
      <c r="AR65" s="232"/>
      <c r="AS65" s="232"/>
      <c r="AT65" s="232"/>
      <c r="AU65" s="232"/>
      <c r="AV65" s="232"/>
      <c r="AW65" s="232"/>
      <c r="AX65" s="232"/>
    </row>
    <row r="66" spans="1:60" s="170" customFormat="1" ht="19.5" customHeight="1">
      <c r="A66" s="209" t="s">
        <v>87</v>
      </c>
      <c r="B66" s="320" t="s">
        <v>168</v>
      </c>
      <c r="C66" s="214"/>
      <c r="D66" s="214"/>
      <c r="E66" s="391"/>
      <c r="F66" s="405"/>
      <c r="G66" s="375"/>
      <c r="H66" s="392"/>
      <c r="I66" s="439"/>
      <c r="J66" s="670">
        <v>0</v>
      </c>
      <c r="K66" s="688">
        <v>20000</v>
      </c>
      <c r="L66" s="661">
        <v>20000</v>
      </c>
      <c r="M66" s="459"/>
      <c r="N66" s="443"/>
      <c r="O66" s="130"/>
      <c r="P66" s="71"/>
      <c r="Q66" s="131"/>
      <c r="R66" s="131"/>
      <c r="S66" s="131"/>
      <c r="T66" s="131"/>
      <c r="U66" s="131"/>
      <c r="V66" s="131"/>
      <c r="W66" s="131"/>
      <c r="X66" s="131"/>
      <c r="Y66" s="131"/>
      <c r="Z66" s="232"/>
      <c r="AA66" s="232">
        <v>1600</v>
      </c>
      <c r="AB66" s="232">
        <v>1600</v>
      </c>
      <c r="AC66" s="232">
        <v>1600</v>
      </c>
      <c r="AD66" s="232">
        <v>1600</v>
      </c>
      <c r="AE66" s="232">
        <v>1600</v>
      </c>
      <c r="AF66" s="232">
        <v>1600</v>
      </c>
      <c r="AG66" s="232"/>
      <c r="AH66" s="232"/>
      <c r="AI66" s="232">
        <v>1600</v>
      </c>
      <c r="AJ66" s="232">
        <v>1600</v>
      </c>
      <c r="AK66" s="232">
        <v>1600</v>
      </c>
      <c r="AL66" s="232">
        <v>1600</v>
      </c>
      <c r="AM66" s="232"/>
      <c r="AN66" s="232"/>
      <c r="AO66" s="232"/>
      <c r="AP66" s="232"/>
      <c r="AQ66" s="232"/>
      <c r="AR66" s="232"/>
      <c r="AS66" s="232"/>
      <c r="AT66" s="232"/>
      <c r="AU66" s="232"/>
      <c r="AV66" s="232"/>
      <c r="AW66" s="232"/>
      <c r="AX66" s="232"/>
    </row>
    <row r="67" spans="1:60" s="170" customFormat="1" ht="19.5" customHeight="1">
      <c r="A67" s="209" t="s">
        <v>87</v>
      </c>
      <c r="B67" s="231" t="s">
        <v>114</v>
      </c>
      <c r="C67" s="214"/>
      <c r="D67" s="214"/>
      <c r="E67" s="391"/>
      <c r="F67" s="405"/>
      <c r="G67" s="375"/>
      <c r="H67" s="392"/>
      <c r="I67" s="439"/>
      <c r="J67" s="670">
        <v>0</v>
      </c>
      <c r="K67" s="688">
        <f t="shared" si="19"/>
        <v>25000</v>
      </c>
      <c r="L67" s="661">
        <v>25000</v>
      </c>
      <c r="M67" s="459"/>
      <c r="N67" s="443"/>
      <c r="O67" s="130"/>
      <c r="P67" s="71"/>
      <c r="Q67" s="131"/>
      <c r="R67" s="131"/>
      <c r="S67" s="131"/>
      <c r="T67" s="131"/>
      <c r="U67" s="131"/>
      <c r="V67" s="131"/>
      <c r="W67" s="131"/>
      <c r="X67" s="131"/>
      <c r="Y67" s="131"/>
      <c r="Z67" s="232"/>
      <c r="AA67" s="232">
        <v>2500</v>
      </c>
      <c r="AB67" s="232">
        <v>2500</v>
      </c>
      <c r="AC67" s="232">
        <v>2500</v>
      </c>
      <c r="AD67" s="232">
        <v>2500</v>
      </c>
      <c r="AE67" s="232">
        <v>2500</v>
      </c>
      <c r="AF67" s="232">
        <v>2500</v>
      </c>
      <c r="AG67" s="232"/>
      <c r="AH67" s="232"/>
      <c r="AI67" s="232">
        <v>2500</v>
      </c>
      <c r="AJ67" s="232">
        <v>2500</v>
      </c>
      <c r="AK67" s="232">
        <v>2500</v>
      </c>
      <c r="AL67" s="232">
        <v>2500</v>
      </c>
      <c r="AM67" s="232"/>
      <c r="AN67" s="232"/>
      <c r="AO67" s="232"/>
      <c r="AP67" s="232"/>
      <c r="AQ67" s="232"/>
      <c r="AR67" s="232"/>
      <c r="AS67" s="232"/>
      <c r="AT67" s="232"/>
      <c r="AU67" s="232"/>
      <c r="AV67" s="232"/>
      <c r="AW67" s="232"/>
      <c r="AX67" s="232"/>
    </row>
    <row r="68" spans="1:60" s="170" customFormat="1" ht="19.5" customHeight="1">
      <c r="A68" s="215" t="s">
        <v>38</v>
      </c>
      <c r="B68" s="320" t="s">
        <v>165</v>
      </c>
      <c r="C68" s="214"/>
      <c r="D68" s="214"/>
      <c r="E68" s="391"/>
      <c r="F68" s="405"/>
      <c r="G68" s="375"/>
      <c r="H68" s="392"/>
      <c r="I68" s="439"/>
      <c r="J68" s="670">
        <v>0</v>
      </c>
      <c r="K68" s="688">
        <f t="shared" si="19"/>
        <v>30000</v>
      </c>
      <c r="L68" s="661">
        <v>60000</v>
      </c>
      <c r="M68" s="459"/>
      <c r="N68" s="443"/>
      <c r="O68" s="130"/>
      <c r="P68" s="71"/>
      <c r="Q68" s="131"/>
      <c r="R68" s="131"/>
      <c r="S68" s="131"/>
      <c r="T68" s="131"/>
      <c r="U68" s="131"/>
      <c r="V68" s="131"/>
      <c r="W68" s="131"/>
      <c r="X68" s="131"/>
      <c r="Y68" s="131"/>
      <c r="Z68" s="232"/>
      <c r="AA68" s="232">
        <v>2500</v>
      </c>
      <c r="AB68" s="232">
        <v>2500</v>
      </c>
      <c r="AC68" s="232">
        <v>2500</v>
      </c>
      <c r="AD68" s="232">
        <v>2500</v>
      </c>
      <c r="AE68" s="232">
        <v>2500</v>
      </c>
      <c r="AF68" s="232">
        <v>2500</v>
      </c>
      <c r="AG68" s="232">
        <v>2500</v>
      </c>
      <c r="AH68" s="232">
        <v>2500</v>
      </c>
      <c r="AI68" s="232">
        <v>2500</v>
      </c>
      <c r="AJ68" s="232">
        <v>2500</v>
      </c>
      <c r="AK68" s="232">
        <v>2500</v>
      </c>
      <c r="AL68" s="232">
        <v>2500</v>
      </c>
      <c r="AM68" s="232"/>
      <c r="AN68" s="232"/>
      <c r="AO68" s="232"/>
      <c r="AP68" s="232"/>
      <c r="AQ68" s="232"/>
      <c r="AR68" s="232"/>
      <c r="AS68" s="232"/>
      <c r="AT68" s="232"/>
      <c r="AU68" s="232"/>
      <c r="AV68" s="232"/>
      <c r="AW68" s="232"/>
      <c r="AX68" s="232"/>
    </row>
    <row r="69" spans="1:60" s="170" customFormat="1" ht="19.5" customHeight="1">
      <c r="A69" s="215" t="s">
        <v>51</v>
      </c>
      <c r="B69" s="320" t="s">
        <v>166</v>
      </c>
      <c r="C69" s="214"/>
      <c r="D69" s="214"/>
      <c r="E69" s="391"/>
      <c r="F69" s="405"/>
      <c r="G69" s="375"/>
      <c r="H69" s="392"/>
      <c r="I69" s="439"/>
      <c r="J69" s="670">
        <v>0</v>
      </c>
      <c r="K69" s="688">
        <f t="shared" si="19"/>
        <v>13500</v>
      </c>
      <c r="L69" s="661">
        <v>28000</v>
      </c>
      <c r="M69" s="459"/>
      <c r="N69" s="443"/>
      <c r="O69" s="130"/>
      <c r="P69" s="71"/>
      <c r="Q69" s="131"/>
      <c r="R69" s="131"/>
      <c r="S69" s="131"/>
      <c r="T69" s="131"/>
      <c r="U69" s="131"/>
      <c r="V69" s="131"/>
      <c r="W69" s="131"/>
      <c r="X69" s="131"/>
      <c r="Y69" s="131"/>
      <c r="Z69" s="232"/>
      <c r="AA69" s="232">
        <v>1125</v>
      </c>
      <c r="AB69" s="232">
        <v>1125</v>
      </c>
      <c r="AC69" s="232">
        <v>1125</v>
      </c>
      <c r="AD69" s="232">
        <v>1125</v>
      </c>
      <c r="AE69" s="232">
        <v>1125</v>
      </c>
      <c r="AF69" s="232">
        <v>1125</v>
      </c>
      <c r="AG69" s="232">
        <v>1125</v>
      </c>
      <c r="AH69" s="232">
        <v>1125</v>
      </c>
      <c r="AI69" s="232">
        <v>1125</v>
      </c>
      <c r="AJ69" s="232">
        <v>1125</v>
      </c>
      <c r="AK69" s="232">
        <v>1125</v>
      </c>
      <c r="AL69" s="232">
        <v>1125</v>
      </c>
      <c r="AM69" s="232"/>
      <c r="AN69" s="232"/>
      <c r="AO69" s="232"/>
      <c r="AP69" s="232"/>
      <c r="AQ69" s="232"/>
      <c r="AR69" s="232"/>
      <c r="AS69" s="232"/>
      <c r="AT69" s="232"/>
      <c r="AU69" s="232"/>
      <c r="AV69" s="232"/>
      <c r="AW69" s="232"/>
      <c r="AX69" s="232"/>
    </row>
    <row r="70" spans="1:60" ht="19.5" customHeight="1">
      <c r="A70" s="215" t="s">
        <v>38</v>
      </c>
      <c r="B70" s="216" t="s">
        <v>66</v>
      </c>
      <c r="C70" s="193"/>
      <c r="D70" s="217"/>
      <c r="E70" s="391"/>
      <c r="F70" s="405"/>
      <c r="G70" s="375"/>
      <c r="H70" s="392"/>
      <c r="I70" s="439"/>
      <c r="J70" s="670">
        <f t="shared" si="18"/>
        <v>12600</v>
      </c>
      <c r="K70" s="688">
        <f>SUM(AA70:AL70)</f>
        <v>28750</v>
      </c>
      <c r="L70" s="661">
        <f t="shared" si="20"/>
        <v>30000</v>
      </c>
      <c r="M70" s="459"/>
      <c r="N70" s="443"/>
      <c r="O70" s="83"/>
      <c r="P70" s="84">
        <v>100</v>
      </c>
      <c r="Q70" s="84">
        <v>1250</v>
      </c>
      <c r="R70" s="84">
        <v>1250</v>
      </c>
      <c r="S70" s="84">
        <v>1250</v>
      </c>
      <c r="T70" s="84">
        <v>1250</v>
      </c>
      <c r="U70" s="84">
        <v>1250</v>
      </c>
      <c r="V70" s="84">
        <v>1250</v>
      </c>
      <c r="W70" s="84">
        <v>1250</v>
      </c>
      <c r="X70" s="84">
        <v>1250</v>
      </c>
      <c r="Y70" s="84">
        <v>1250</v>
      </c>
      <c r="Z70" s="85">
        <v>1250</v>
      </c>
      <c r="AA70" s="85">
        <v>1250</v>
      </c>
      <c r="AB70" s="86">
        <v>2500</v>
      </c>
      <c r="AC70" s="86">
        <v>2500</v>
      </c>
      <c r="AD70" s="86">
        <v>2500</v>
      </c>
      <c r="AE70" s="86">
        <v>2500</v>
      </c>
      <c r="AF70" s="86">
        <v>2500</v>
      </c>
      <c r="AG70" s="86">
        <v>2500</v>
      </c>
      <c r="AH70" s="86">
        <v>2500</v>
      </c>
      <c r="AI70" s="86">
        <v>2500</v>
      </c>
      <c r="AJ70" s="86">
        <v>2500</v>
      </c>
      <c r="AK70" s="86">
        <v>2500</v>
      </c>
      <c r="AL70" s="86">
        <v>2500</v>
      </c>
      <c r="AM70" s="86">
        <v>2500</v>
      </c>
      <c r="AN70" s="86">
        <v>2500</v>
      </c>
      <c r="AO70" s="86">
        <v>2500</v>
      </c>
      <c r="AP70" s="86">
        <v>2500</v>
      </c>
      <c r="AQ70" s="86">
        <v>2500</v>
      </c>
      <c r="AR70" s="86">
        <v>2500</v>
      </c>
      <c r="AS70" s="86">
        <v>2500</v>
      </c>
      <c r="AT70" s="86">
        <v>2500</v>
      </c>
      <c r="AU70" s="86">
        <v>2500</v>
      </c>
      <c r="AV70" s="86">
        <v>2500</v>
      </c>
      <c r="AW70" s="86">
        <v>2500</v>
      </c>
      <c r="AX70" s="86">
        <v>2500</v>
      </c>
    </row>
    <row r="71" spans="1:60" ht="19.5" customHeight="1">
      <c r="A71" s="215" t="s">
        <v>51</v>
      </c>
      <c r="B71" s="192" t="s">
        <v>52</v>
      </c>
      <c r="C71" s="193"/>
      <c r="D71" s="217"/>
      <c r="E71" s="391"/>
      <c r="F71" s="405"/>
      <c r="G71" s="375"/>
      <c r="H71" s="392"/>
      <c r="I71" s="439"/>
      <c r="J71" s="670">
        <f t="shared" si="18"/>
        <v>3030</v>
      </c>
      <c r="K71" s="688">
        <f t="shared" si="19"/>
        <v>11300</v>
      </c>
      <c r="L71" s="661">
        <f t="shared" si="20"/>
        <v>12000</v>
      </c>
      <c r="M71" s="459"/>
      <c r="N71" s="443"/>
      <c r="O71" s="83"/>
      <c r="P71" s="84">
        <v>30</v>
      </c>
      <c r="Q71" s="84">
        <v>300</v>
      </c>
      <c r="R71" s="84">
        <v>300</v>
      </c>
      <c r="S71" s="84">
        <v>300</v>
      </c>
      <c r="T71" s="84">
        <v>300</v>
      </c>
      <c r="U71" s="84">
        <v>300</v>
      </c>
      <c r="V71" s="84">
        <v>300</v>
      </c>
      <c r="W71" s="84">
        <v>300</v>
      </c>
      <c r="X71" s="84">
        <v>300</v>
      </c>
      <c r="Y71" s="84">
        <v>300</v>
      </c>
      <c r="Z71" s="85">
        <v>300</v>
      </c>
      <c r="AA71" s="85">
        <v>300</v>
      </c>
      <c r="AB71" s="85">
        <f t="shared" ref="AB71:AX71" si="32">AB70*40%</f>
        <v>1000</v>
      </c>
      <c r="AC71" s="85">
        <f t="shared" si="32"/>
        <v>1000</v>
      </c>
      <c r="AD71" s="85">
        <f t="shared" si="32"/>
        <v>1000</v>
      </c>
      <c r="AE71" s="85">
        <f t="shared" si="32"/>
        <v>1000</v>
      </c>
      <c r="AF71" s="85">
        <f t="shared" si="32"/>
        <v>1000</v>
      </c>
      <c r="AG71" s="85">
        <f t="shared" si="32"/>
        <v>1000</v>
      </c>
      <c r="AH71" s="85">
        <f t="shared" si="32"/>
        <v>1000</v>
      </c>
      <c r="AI71" s="85">
        <f t="shared" si="32"/>
        <v>1000</v>
      </c>
      <c r="AJ71" s="85">
        <f t="shared" si="32"/>
        <v>1000</v>
      </c>
      <c r="AK71" s="85">
        <f t="shared" si="32"/>
        <v>1000</v>
      </c>
      <c r="AL71" s="85">
        <f t="shared" si="32"/>
        <v>1000</v>
      </c>
      <c r="AM71" s="85">
        <f t="shared" si="32"/>
        <v>1000</v>
      </c>
      <c r="AN71" s="85">
        <f t="shared" si="32"/>
        <v>1000</v>
      </c>
      <c r="AO71" s="85">
        <f t="shared" si="32"/>
        <v>1000</v>
      </c>
      <c r="AP71" s="85">
        <f t="shared" si="32"/>
        <v>1000</v>
      </c>
      <c r="AQ71" s="85">
        <f t="shared" si="32"/>
        <v>1000</v>
      </c>
      <c r="AR71" s="85">
        <f t="shared" si="32"/>
        <v>1000</v>
      </c>
      <c r="AS71" s="85">
        <f t="shared" si="32"/>
        <v>1000</v>
      </c>
      <c r="AT71" s="85">
        <f t="shared" si="32"/>
        <v>1000</v>
      </c>
      <c r="AU71" s="85">
        <f t="shared" si="32"/>
        <v>1000</v>
      </c>
      <c r="AV71" s="85">
        <f t="shared" si="32"/>
        <v>1000</v>
      </c>
      <c r="AW71" s="85">
        <f t="shared" si="32"/>
        <v>1000</v>
      </c>
      <c r="AX71" s="85">
        <f t="shared" si="32"/>
        <v>1000</v>
      </c>
    </row>
    <row r="72" spans="1:60" ht="19.5" customHeight="1">
      <c r="A72" s="215" t="s">
        <v>38</v>
      </c>
      <c r="B72" s="216" t="s">
        <v>169</v>
      </c>
      <c r="C72" s="193"/>
      <c r="D72" s="217"/>
      <c r="E72" s="391" t="s">
        <v>28</v>
      </c>
      <c r="F72" s="405"/>
      <c r="G72" s="375"/>
      <c r="H72" s="392"/>
      <c r="I72" s="439"/>
      <c r="J72" s="670">
        <f t="shared" si="18"/>
        <v>11250</v>
      </c>
      <c r="K72" s="688">
        <f t="shared" si="19"/>
        <v>0</v>
      </c>
      <c r="L72" s="661">
        <v>10000</v>
      </c>
      <c r="M72" s="459"/>
      <c r="N72" s="443"/>
      <c r="O72" s="83"/>
      <c r="P72" s="84"/>
      <c r="Q72" s="84"/>
      <c r="R72" s="84">
        <v>1250</v>
      </c>
      <c r="S72" s="84">
        <v>1250</v>
      </c>
      <c r="T72" s="84">
        <v>1250</v>
      </c>
      <c r="U72" s="84">
        <v>1250</v>
      </c>
      <c r="V72" s="84">
        <v>1250</v>
      </c>
      <c r="W72" s="84">
        <v>1250</v>
      </c>
      <c r="X72" s="84">
        <v>1250</v>
      </c>
      <c r="Y72" s="84">
        <v>1250</v>
      </c>
      <c r="Z72" s="85">
        <v>1250</v>
      </c>
      <c r="AA72" s="85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>
        <v>2500</v>
      </c>
      <c r="AN72" s="86">
        <v>2500</v>
      </c>
      <c r="AO72" s="86">
        <v>2500</v>
      </c>
      <c r="AP72" s="86">
        <v>2500</v>
      </c>
      <c r="AQ72" s="86">
        <v>2500</v>
      </c>
      <c r="AR72" s="86">
        <v>2500</v>
      </c>
      <c r="AS72" s="86">
        <v>2500</v>
      </c>
      <c r="AT72" s="86">
        <v>2500</v>
      </c>
      <c r="AU72" s="86">
        <v>2500</v>
      </c>
      <c r="AV72" s="86">
        <v>2500</v>
      </c>
      <c r="AW72" s="86">
        <v>2500</v>
      </c>
      <c r="AX72" s="86">
        <v>2500</v>
      </c>
    </row>
    <row r="73" spans="1:60" ht="19.5" customHeight="1">
      <c r="A73" s="215" t="s">
        <v>51</v>
      </c>
      <c r="B73" s="216" t="s">
        <v>53</v>
      </c>
      <c r="C73" s="193"/>
      <c r="D73" s="217"/>
      <c r="E73" s="391"/>
      <c r="F73" s="405"/>
      <c r="G73" s="375"/>
      <c r="H73" s="392"/>
      <c r="I73" s="439"/>
      <c r="J73" s="670">
        <f t="shared" si="18"/>
        <v>2700</v>
      </c>
      <c r="K73" s="688">
        <f t="shared" si="19"/>
        <v>0</v>
      </c>
      <c r="L73" s="661">
        <v>3500</v>
      </c>
      <c r="M73" s="459"/>
      <c r="N73" s="443"/>
      <c r="O73" s="83"/>
      <c r="P73" s="84"/>
      <c r="Q73" s="84"/>
      <c r="R73" s="84">
        <v>300</v>
      </c>
      <c r="S73" s="84">
        <v>300</v>
      </c>
      <c r="T73" s="84">
        <v>300</v>
      </c>
      <c r="U73" s="84">
        <v>300</v>
      </c>
      <c r="V73" s="84">
        <v>300</v>
      </c>
      <c r="W73" s="84">
        <v>300</v>
      </c>
      <c r="X73" s="84">
        <v>300</v>
      </c>
      <c r="Y73" s="84">
        <v>300</v>
      </c>
      <c r="Z73" s="85">
        <v>300</v>
      </c>
      <c r="AA73" s="85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>
        <f t="shared" ref="AM73:AX73" si="33">AM72*40%</f>
        <v>1000</v>
      </c>
      <c r="AN73" s="86">
        <f t="shared" si="33"/>
        <v>1000</v>
      </c>
      <c r="AO73" s="86">
        <f t="shared" si="33"/>
        <v>1000</v>
      </c>
      <c r="AP73" s="86">
        <f t="shared" si="33"/>
        <v>1000</v>
      </c>
      <c r="AQ73" s="86">
        <f t="shared" si="33"/>
        <v>1000</v>
      </c>
      <c r="AR73" s="86">
        <f t="shared" si="33"/>
        <v>1000</v>
      </c>
      <c r="AS73" s="86">
        <f t="shared" si="33"/>
        <v>1000</v>
      </c>
      <c r="AT73" s="86">
        <f t="shared" si="33"/>
        <v>1000</v>
      </c>
      <c r="AU73" s="86">
        <f t="shared" si="33"/>
        <v>1000</v>
      </c>
      <c r="AV73" s="86">
        <f t="shared" si="33"/>
        <v>1000</v>
      </c>
      <c r="AW73" s="86">
        <f t="shared" si="33"/>
        <v>1000</v>
      </c>
      <c r="AX73" s="86">
        <f t="shared" si="33"/>
        <v>1000</v>
      </c>
    </row>
    <row r="74" spans="1:60" ht="19.5" customHeight="1" thickBot="1">
      <c r="A74" s="29" t="s">
        <v>54</v>
      </c>
      <c r="B74" s="152" t="s">
        <v>72</v>
      </c>
      <c r="C74" s="14"/>
      <c r="D74" s="129"/>
      <c r="E74" s="391"/>
      <c r="F74" s="405"/>
      <c r="G74" s="375"/>
      <c r="H74" s="392"/>
      <c r="I74" s="439"/>
      <c r="J74" s="670">
        <f t="shared" si="18"/>
        <v>0</v>
      </c>
      <c r="K74" s="427">
        <f t="shared" si="19"/>
        <v>0</v>
      </c>
      <c r="L74" s="661">
        <f t="shared" si="20"/>
        <v>0</v>
      </c>
      <c r="M74" s="459"/>
      <c r="N74" s="443"/>
      <c r="O74" s="87">
        <f t="shared" ref="O74:AX74" si="34">O92</f>
        <v>0</v>
      </c>
      <c r="P74" s="88">
        <f t="shared" si="34"/>
        <v>0</v>
      </c>
      <c r="Q74" s="89">
        <f t="shared" si="34"/>
        <v>0</v>
      </c>
      <c r="R74" s="89">
        <f t="shared" si="34"/>
        <v>0</v>
      </c>
      <c r="S74" s="89">
        <f t="shared" si="34"/>
        <v>0</v>
      </c>
      <c r="T74" s="89">
        <f t="shared" si="34"/>
        <v>0</v>
      </c>
      <c r="U74" s="89">
        <f t="shared" si="34"/>
        <v>0</v>
      </c>
      <c r="V74" s="89">
        <f t="shared" si="34"/>
        <v>0</v>
      </c>
      <c r="W74" s="89">
        <f t="shared" si="34"/>
        <v>0</v>
      </c>
      <c r="X74" s="89">
        <f t="shared" si="34"/>
        <v>0</v>
      </c>
      <c r="Y74" s="89">
        <f t="shared" si="34"/>
        <v>0</v>
      </c>
      <c r="Z74" s="90">
        <f t="shared" si="34"/>
        <v>0</v>
      </c>
      <c r="AA74" s="90">
        <f t="shared" si="34"/>
        <v>0</v>
      </c>
      <c r="AB74" s="90">
        <f t="shared" si="34"/>
        <v>0</v>
      </c>
      <c r="AC74" s="90">
        <f t="shared" si="34"/>
        <v>0</v>
      </c>
      <c r="AD74" s="90">
        <f t="shared" si="34"/>
        <v>0</v>
      </c>
      <c r="AE74" s="90">
        <f t="shared" si="34"/>
        <v>0</v>
      </c>
      <c r="AF74" s="90">
        <f t="shared" si="34"/>
        <v>0</v>
      </c>
      <c r="AG74" s="90">
        <f t="shared" si="34"/>
        <v>0</v>
      </c>
      <c r="AH74" s="90">
        <f t="shared" si="34"/>
        <v>0</v>
      </c>
      <c r="AI74" s="90">
        <f t="shared" si="34"/>
        <v>0</v>
      </c>
      <c r="AJ74" s="90">
        <f t="shared" si="34"/>
        <v>0</v>
      </c>
      <c r="AK74" s="90">
        <f t="shared" si="34"/>
        <v>0</v>
      </c>
      <c r="AL74" s="90">
        <f t="shared" si="34"/>
        <v>0</v>
      </c>
      <c r="AM74" s="90">
        <f t="shared" si="34"/>
        <v>0</v>
      </c>
      <c r="AN74" s="90">
        <f t="shared" si="34"/>
        <v>0</v>
      </c>
      <c r="AO74" s="90">
        <f t="shared" si="34"/>
        <v>0</v>
      </c>
      <c r="AP74" s="90">
        <f t="shared" si="34"/>
        <v>0</v>
      </c>
      <c r="AQ74" s="90">
        <f t="shared" si="34"/>
        <v>0</v>
      </c>
      <c r="AR74" s="90">
        <f t="shared" si="34"/>
        <v>0</v>
      </c>
      <c r="AS74" s="90">
        <f t="shared" si="34"/>
        <v>0</v>
      </c>
      <c r="AT74" s="90">
        <f t="shared" si="34"/>
        <v>0</v>
      </c>
      <c r="AU74" s="90">
        <f t="shared" si="34"/>
        <v>0</v>
      </c>
      <c r="AV74" s="90">
        <f t="shared" si="34"/>
        <v>0</v>
      </c>
      <c r="AW74" s="90">
        <f t="shared" si="34"/>
        <v>0</v>
      </c>
      <c r="AX74" s="90">
        <f t="shared" si="34"/>
        <v>0</v>
      </c>
    </row>
    <row r="75" spans="1:60" ht="19.5" customHeight="1" thickBot="1">
      <c r="A75" s="30" t="s">
        <v>29</v>
      </c>
      <c r="B75" s="135" t="s">
        <v>28</v>
      </c>
      <c r="C75" s="91"/>
      <c r="D75" s="147"/>
      <c r="E75" s="639">
        <f>SUM(E44:E74)</f>
        <v>50445</v>
      </c>
      <c r="F75" s="412">
        <f t="shared" ref="F75:G75" si="35">SUM(F44:F74)</f>
        <v>157501</v>
      </c>
      <c r="G75" s="629">
        <f t="shared" si="35"/>
        <v>2400</v>
      </c>
      <c r="H75" s="413">
        <f t="shared" ref="H75" si="36">SUM(H44:H74)</f>
        <v>0</v>
      </c>
      <c r="I75" s="448"/>
      <c r="J75" s="672">
        <f t="shared" ref="J75" si="37">SUM(J44:J74)</f>
        <v>39780</v>
      </c>
      <c r="K75" s="431">
        <f t="shared" ref="K75" si="38">SUM(K44:K74)</f>
        <v>193450.9</v>
      </c>
      <c r="L75" s="664">
        <f t="shared" ref="L75" si="39">SUM(L44:L74)</f>
        <v>267832</v>
      </c>
      <c r="M75" s="649"/>
      <c r="N75" s="444"/>
      <c r="O75" s="120">
        <f t="shared" ref="O75:AX75" si="40">SUM(O44:O74)</f>
        <v>0</v>
      </c>
      <c r="P75" s="92">
        <f t="shared" si="40"/>
        <v>130</v>
      </c>
      <c r="Q75" s="92">
        <f t="shared" si="40"/>
        <v>1550</v>
      </c>
      <c r="R75" s="92">
        <f t="shared" si="40"/>
        <v>3100</v>
      </c>
      <c r="S75" s="92">
        <f t="shared" si="40"/>
        <v>3100</v>
      </c>
      <c r="T75" s="92">
        <f t="shared" si="40"/>
        <v>3100</v>
      </c>
      <c r="U75" s="92">
        <f t="shared" si="40"/>
        <v>14600</v>
      </c>
      <c r="V75" s="92">
        <f t="shared" si="40"/>
        <v>3100</v>
      </c>
      <c r="W75" s="92">
        <f t="shared" si="40"/>
        <v>38990.79</v>
      </c>
      <c r="X75" s="92">
        <f t="shared" si="40"/>
        <v>7118</v>
      </c>
      <c r="Y75" s="92">
        <f t="shared" si="40"/>
        <v>5518</v>
      </c>
      <c r="Z75" s="93">
        <f t="shared" si="40"/>
        <v>9918</v>
      </c>
      <c r="AA75" s="93">
        <f t="shared" si="40"/>
        <v>16811.57</v>
      </c>
      <c r="AB75" s="93">
        <f t="shared" si="40"/>
        <v>28628.25</v>
      </c>
      <c r="AC75" s="93">
        <f t="shared" si="40"/>
        <v>34803.195</v>
      </c>
      <c r="AD75" s="93">
        <f t="shared" si="40"/>
        <v>35225.875</v>
      </c>
      <c r="AE75" s="93">
        <f t="shared" si="40"/>
        <v>30803.195</v>
      </c>
      <c r="AF75" s="93">
        <f t="shared" si="40"/>
        <v>35503.195</v>
      </c>
      <c r="AG75" s="93">
        <f t="shared" si="40"/>
        <v>10885</v>
      </c>
      <c r="AH75" s="93">
        <f t="shared" si="40"/>
        <v>10885</v>
      </c>
      <c r="AI75" s="93">
        <f t="shared" si="40"/>
        <v>46611.195</v>
      </c>
      <c r="AJ75" s="93">
        <f t="shared" si="40"/>
        <v>18906.875</v>
      </c>
      <c r="AK75" s="93">
        <f t="shared" si="40"/>
        <v>20040.195</v>
      </c>
      <c r="AL75" s="93">
        <f t="shared" si="40"/>
        <v>18902.875</v>
      </c>
      <c r="AM75" s="93">
        <f t="shared" si="40"/>
        <v>12336.5</v>
      </c>
      <c r="AN75" s="93">
        <f t="shared" si="40"/>
        <v>20669.5</v>
      </c>
      <c r="AO75" s="93">
        <f t="shared" si="40"/>
        <v>20669.5</v>
      </c>
      <c r="AP75" s="93">
        <f t="shared" si="40"/>
        <v>20669.5</v>
      </c>
      <c r="AQ75" s="93">
        <f t="shared" si="40"/>
        <v>20669.5</v>
      </c>
      <c r="AR75" s="93">
        <f t="shared" si="40"/>
        <v>20669.5</v>
      </c>
      <c r="AS75" s="93">
        <f t="shared" si="40"/>
        <v>20669.5</v>
      </c>
      <c r="AT75" s="93">
        <f t="shared" si="40"/>
        <v>20669.5</v>
      </c>
      <c r="AU75" s="93">
        <f t="shared" si="40"/>
        <v>20669.5</v>
      </c>
      <c r="AV75" s="93">
        <f t="shared" si="40"/>
        <v>20669.5</v>
      </c>
      <c r="AW75" s="93">
        <f t="shared" si="40"/>
        <v>20669.5</v>
      </c>
      <c r="AX75" s="93">
        <f t="shared" si="40"/>
        <v>20669.5</v>
      </c>
    </row>
    <row r="76" spans="1:60" ht="19.5" customHeight="1" thickBot="1">
      <c r="A76" s="53" t="s">
        <v>102</v>
      </c>
      <c r="B76" s="54"/>
      <c r="C76" s="54"/>
      <c r="D76" s="148"/>
      <c r="E76" s="640">
        <f>+E43+E75</f>
        <v>50445</v>
      </c>
      <c r="F76" s="414">
        <f t="shared" ref="F76:G76" si="41">+F43+F75</f>
        <v>157501</v>
      </c>
      <c r="G76" s="630">
        <f t="shared" si="41"/>
        <v>2400</v>
      </c>
      <c r="H76" s="415">
        <f t="shared" ref="H76" si="42">+H43+H75</f>
        <v>0</v>
      </c>
      <c r="I76" s="448"/>
      <c r="J76" s="640">
        <f t="shared" ref="J76" si="43">+J43+J75</f>
        <v>39780</v>
      </c>
      <c r="K76" s="414">
        <f t="shared" ref="K76" si="44">+K43+K75</f>
        <v>193450.9</v>
      </c>
      <c r="L76" s="630">
        <f t="shared" ref="L76" si="45">+L43+L75</f>
        <v>267832</v>
      </c>
      <c r="M76" s="415"/>
      <c r="N76" s="448"/>
      <c r="O76" s="125">
        <f t="shared" ref="O76:AX76" si="46">O43+O75</f>
        <v>0</v>
      </c>
      <c r="P76" s="56">
        <f t="shared" si="46"/>
        <v>130</v>
      </c>
      <c r="Q76" s="56">
        <f t="shared" si="46"/>
        <v>1550</v>
      </c>
      <c r="R76" s="56">
        <f t="shared" si="46"/>
        <v>3100</v>
      </c>
      <c r="S76" s="56">
        <f t="shared" si="46"/>
        <v>3100</v>
      </c>
      <c r="T76" s="56">
        <f t="shared" si="46"/>
        <v>3100</v>
      </c>
      <c r="U76" s="56">
        <f t="shared" si="46"/>
        <v>14600</v>
      </c>
      <c r="V76" s="56">
        <f t="shared" si="46"/>
        <v>3100</v>
      </c>
      <c r="W76" s="56">
        <f t="shared" si="46"/>
        <v>38990.79</v>
      </c>
      <c r="X76" s="56">
        <f t="shared" si="46"/>
        <v>7118</v>
      </c>
      <c r="Y76" s="56">
        <f t="shared" si="46"/>
        <v>5518</v>
      </c>
      <c r="Z76" s="57">
        <f t="shared" si="46"/>
        <v>9918</v>
      </c>
      <c r="AA76" s="57">
        <f t="shared" si="46"/>
        <v>16811.57</v>
      </c>
      <c r="AB76" s="57">
        <f t="shared" si="46"/>
        <v>28628.25</v>
      </c>
      <c r="AC76" s="57">
        <f t="shared" si="46"/>
        <v>34803.195</v>
      </c>
      <c r="AD76" s="57">
        <f t="shared" si="46"/>
        <v>35225.875</v>
      </c>
      <c r="AE76" s="57">
        <f t="shared" si="46"/>
        <v>30803.195</v>
      </c>
      <c r="AF76" s="57">
        <f t="shared" si="46"/>
        <v>35503.195</v>
      </c>
      <c r="AG76" s="57">
        <f t="shared" si="46"/>
        <v>10885</v>
      </c>
      <c r="AH76" s="57">
        <f t="shared" si="46"/>
        <v>10885</v>
      </c>
      <c r="AI76" s="57">
        <f t="shared" si="46"/>
        <v>46611.195</v>
      </c>
      <c r="AJ76" s="57">
        <f t="shared" si="46"/>
        <v>18906.875</v>
      </c>
      <c r="AK76" s="57">
        <f t="shared" si="46"/>
        <v>20040.195</v>
      </c>
      <c r="AL76" s="57">
        <f t="shared" si="46"/>
        <v>21902.875</v>
      </c>
      <c r="AM76" s="57">
        <f t="shared" si="46"/>
        <v>12336.5</v>
      </c>
      <c r="AN76" s="57">
        <f t="shared" si="46"/>
        <v>20669.5</v>
      </c>
      <c r="AO76" s="57">
        <f t="shared" si="46"/>
        <v>20669.5</v>
      </c>
      <c r="AP76" s="57">
        <f t="shared" si="46"/>
        <v>20669.5</v>
      </c>
      <c r="AQ76" s="57">
        <f t="shared" si="46"/>
        <v>20669.5</v>
      </c>
      <c r="AR76" s="57">
        <f t="shared" si="46"/>
        <v>20669.5</v>
      </c>
      <c r="AS76" s="57">
        <f t="shared" si="46"/>
        <v>20669.5</v>
      </c>
      <c r="AT76" s="57">
        <f t="shared" si="46"/>
        <v>20669.5</v>
      </c>
      <c r="AU76" s="57">
        <f t="shared" si="46"/>
        <v>20669.5</v>
      </c>
      <c r="AV76" s="57">
        <f t="shared" si="46"/>
        <v>20669.5</v>
      </c>
      <c r="AW76" s="57">
        <f t="shared" si="46"/>
        <v>20669.5</v>
      </c>
      <c r="AX76" s="57">
        <f t="shared" si="46"/>
        <v>20669.5</v>
      </c>
    </row>
    <row r="77" spans="1:60" ht="19.5" customHeight="1" thickBot="1">
      <c r="A77" s="579" t="s">
        <v>190</v>
      </c>
      <c r="B77" s="580"/>
      <c r="C77" s="580"/>
      <c r="D77" s="560"/>
      <c r="E77" s="787"/>
      <c r="F77" s="787"/>
      <c r="G77" s="788"/>
      <c r="H77" s="789"/>
      <c r="I77" s="453"/>
      <c r="J77" s="673">
        <f>J37-J76</f>
        <v>-11804.269999999997</v>
      </c>
      <c r="K77" s="581">
        <f>K37-K76</f>
        <v>-7520.9750000000058</v>
      </c>
      <c r="L77" s="665">
        <f>L37-L76</f>
        <v>9928</v>
      </c>
      <c r="M77" s="689"/>
      <c r="N77" s="445"/>
      <c r="O77" s="389"/>
      <c r="P77" s="1"/>
      <c r="Q77" s="1"/>
      <c r="R77" s="1"/>
      <c r="S77" s="1"/>
      <c r="T77" s="1"/>
      <c r="U77" s="1"/>
      <c r="V77" s="1"/>
      <c r="W77" s="1"/>
      <c r="X77" s="1"/>
      <c r="Y77" s="1"/>
      <c r="Z77" s="94"/>
      <c r="AA77" s="2"/>
      <c r="AB77" s="58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BH77" s="166" t="s">
        <v>208</v>
      </c>
    </row>
    <row r="78" spans="1:60" s="170" customFormat="1" ht="19.5" customHeight="1" thickBot="1">
      <c r="A78" s="800" t="s">
        <v>229</v>
      </c>
      <c r="B78" s="801"/>
      <c r="C78" s="801"/>
      <c r="D78" s="801"/>
      <c r="E78" s="802"/>
      <c r="F78" s="802"/>
      <c r="G78" s="633"/>
      <c r="H78" s="654"/>
      <c r="I78" s="453"/>
      <c r="J78" s="673"/>
      <c r="K78" s="790">
        <f>+SUM(F16:F35)-SUM(F45:F73)</f>
        <v>-119618</v>
      </c>
      <c r="L78" s="790">
        <f>+SUM(G16:G35)-SUM(G45:G73)-'2 - Plan de Trésorerie'!L41-'2 - Plan de Trésorerie'!L42</f>
        <v>-8400</v>
      </c>
      <c r="M78" s="791"/>
      <c r="N78" s="445"/>
      <c r="O78" s="389"/>
      <c r="P78" s="1"/>
      <c r="Q78" s="1"/>
      <c r="R78" s="1"/>
      <c r="S78" s="1"/>
      <c r="T78" s="1"/>
      <c r="U78" s="1"/>
      <c r="V78" s="1"/>
      <c r="W78" s="1"/>
      <c r="X78" s="1"/>
      <c r="Y78" s="1"/>
      <c r="Z78" s="94"/>
      <c r="AA78" s="2"/>
      <c r="AB78" s="58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BH78" s="166"/>
    </row>
    <row r="79" spans="1:60" ht="19.5" customHeight="1" thickBot="1">
      <c r="A79" s="795" t="s">
        <v>55</v>
      </c>
      <c r="B79" s="795"/>
      <c r="C79" s="795"/>
      <c r="D79" s="795"/>
      <c r="E79" s="796"/>
      <c r="F79" s="797"/>
      <c r="G79" s="798"/>
      <c r="H79" s="799"/>
      <c r="I79" s="456"/>
      <c r="J79" s="674">
        <f>+J77</f>
        <v>-11804.269999999997</v>
      </c>
      <c r="K79" s="792">
        <f>+K77+K78</f>
        <v>-127138.97500000001</v>
      </c>
      <c r="L79" s="793">
        <f>+L77+L78</f>
        <v>1528</v>
      </c>
      <c r="M79" s="794"/>
      <c r="N79" s="377"/>
      <c r="O79" s="425">
        <f t="shared" ref="O79:AX79" si="47">O37-O76</f>
        <v>0</v>
      </c>
      <c r="P79" s="96">
        <f t="shared" si="47"/>
        <v>-52.844999999999999</v>
      </c>
      <c r="Q79" s="96">
        <f t="shared" si="47"/>
        <v>-180.07499999999982</v>
      </c>
      <c r="R79" s="96">
        <f t="shared" si="47"/>
        <v>-990.14999999999964</v>
      </c>
      <c r="S79" s="96">
        <f t="shared" si="47"/>
        <v>-1260.1499999999999</v>
      </c>
      <c r="T79" s="96">
        <f t="shared" si="47"/>
        <v>8855.8499999999985</v>
      </c>
      <c r="U79" s="96">
        <f t="shared" si="47"/>
        <v>-7760.15</v>
      </c>
      <c r="V79" s="96">
        <f t="shared" si="47"/>
        <v>-1260.1499999999999</v>
      </c>
      <c r="W79" s="96">
        <f t="shared" si="47"/>
        <v>-36479.94</v>
      </c>
      <c r="X79" s="96">
        <f t="shared" si="47"/>
        <v>-935.14999999999964</v>
      </c>
      <c r="Y79" s="96">
        <f t="shared" si="47"/>
        <v>-1335.1499999999996</v>
      </c>
      <c r="Z79" s="97">
        <f t="shared" si="47"/>
        <v>-3735.1499999999996</v>
      </c>
      <c r="AA79" s="97">
        <f t="shared" si="47"/>
        <v>-9368.6450000000004</v>
      </c>
      <c r="AB79" s="97">
        <f t="shared" si="47"/>
        <v>5737.75</v>
      </c>
      <c r="AC79" s="97">
        <f t="shared" si="47"/>
        <v>-27030.195</v>
      </c>
      <c r="AD79" s="97">
        <f t="shared" si="47"/>
        <v>-15452.875</v>
      </c>
      <c r="AE79" s="97">
        <f t="shared" si="47"/>
        <v>-21030.195</v>
      </c>
      <c r="AF79" s="97">
        <f t="shared" si="47"/>
        <v>-15230.195</v>
      </c>
      <c r="AG79" s="97">
        <f t="shared" si="47"/>
        <v>-9062</v>
      </c>
      <c r="AH79" s="97">
        <f t="shared" si="47"/>
        <v>-7062</v>
      </c>
      <c r="AI79" s="97">
        <f t="shared" si="47"/>
        <v>-26618.195</v>
      </c>
      <c r="AJ79" s="97">
        <f t="shared" si="47"/>
        <v>323.125</v>
      </c>
      <c r="AK79" s="97">
        <f t="shared" si="47"/>
        <v>-12810.195</v>
      </c>
      <c r="AL79" s="97">
        <f t="shared" si="47"/>
        <v>-6972.875</v>
      </c>
      <c r="AM79" s="97">
        <f t="shared" si="47"/>
        <v>693.5</v>
      </c>
      <c r="AN79" s="97">
        <f t="shared" si="47"/>
        <v>2360.5</v>
      </c>
      <c r="AO79" s="97">
        <f t="shared" si="47"/>
        <v>2360.5</v>
      </c>
      <c r="AP79" s="97">
        <f t="shared" si="47"/>
        <v>2360.5</v>
      </c>
      <c r="AQ79" s="97">
        <f t="shared" si="47"/>
        <v>2360.5</v>
      </c>
      <c r="AR79" s="97">
        <f t="shared" si="47"/>
        <v>2360.5</v>
      </c>
      <c r="AS79" s="97">
        <f t="shared" si="47"/>
        <v>2060.5</v>
      </c>
      <c r="AT79" s="97">
        <f t="shared" si="47"/>
        <v>2060.5</v>
      </c>
      <c r="AU79" s="97">
        <f t="shared" si="47"/>
        <v>2860.5</v>
      </c>
      <c r="AV79" s="97">
        <f t="shared" si="47"/>
        <v>3160.5</v>
      </c>
      <c r="AW79" s="97">
        <f t="shared" si="47"/>
        <v>3160.5</v>
      </c>
      <c r="AX79" s="97">
        <f t="shared" si="47"/>
        <v>-4239.5</v>
      </c>
      <c r="BH79" s="166" t="s">
        <v>230</v>
      </c>
    </row>
    <row r="80" spans="1:60" ht="19.5" hidden="1" customHeight="1">
      <c r="A80" s="98"/>
      <c r="B80" s="98"/>
      <c r="C80" s="98"/>
      <c r="D80" s="134"/>
      <c r="E80" s="417"/>
      <c r="F80" s="702"/>
      <c r="G80" s="703"/>
      <c r="H80" s="134"/>
      <c r="I80" s="457"/>
      <c r="J80" s="432"/>
      <c r="K80" s="712"/>
      <c r="L80" s="713"/>
      <c r="M80" s="614"/>
      <c r="N80" s="377"/>
      <c r="O80" s="99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1"/>
      <c r="AB80" s="102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</row>
    <row r="81" spans="1:59" ht="39.75" hidden="1" customHeight="1" thickBot="1">
      <c r="A81" s="219" t="s">
        <v>186</v>
      </c>
      <c r="B81" s="842" t="s">
        <v>28</v>
      </c>
      <c r="C81" s="843"/>
      <c r="D81" s="220">
        <v>11996</v>
      </c>
      <c r="E81" s="418"/>
      <c r="F81" s="419"/>
      <c r="G81" s="420"/>
      <c r="H81" s="612"/>
      <c r="I81" s="458"/>
      <c r="J81" s="433">
        <f>+D81+J79</f>
        <v>191.7300000000032</v>
      </c>
      <c r="K81" s="434">
        <f>+J81+K79</f>
        <v>-126947.245</v>
      </c>
      <c r="L81" s="435">
        <f>+K81+L79</f>
        <v>-125419.245</v>
      </c>
      <c r="M81" s="615"/>
      <c r="N81" s="449"/>
      <c r="O81" s="554">
        <f>D81+O79</f>
        <v>11996</v>
      </c>
      <c r="P81" s="555">
        <f t="shared" ref="P81:AX81" si="48">O81+P79</f>
        <v>11943.155000000001</v>
      </c>
      <c r="Q81" s="555">
        <f t="shared" si="48"/>
        <v>11763.080000000002</v>
      </c>
      <c r="R81" s="555">
        <f t="shared" si="48"/>
        <v>10772.930000000002</v>
      </c>
      <c r="S81" s="555">
        <f t="shared" si="48"/>
        <v>9512.7800000000025</v>
      </c>
      <c r="T81" s="555">
        <f t="shared" si="48"/>
        <v>18368.63</v>
      </c>
      <c r="U81" s="555">
        <f t="shared" si="48"/>
        <v>10608.480000000001</v>
      </c>
      <c r="V81" s="555">
        <f t="shared" si="48"/>
        <v>9348.3300000000017</v>
      </c>
      <c r="W81" s="555">
        <f t="shared" si="48"/>
        <v>-27131.61</v>
      </c>
      <c r="X81" s="555">
        <f t="shared" si="48"/>
        <v>-28066.760000000002</v>
      </c>
      <c r="Y81" s="556">
        <f t="shared" si="48"/>
        <v>-29401.910000000003</v>
      </c>
      <c r="Z81" s="557">
        <f t="shared" si="48"/>
        <v>-33137.060000000005</v>
      </c>
      <c r="AA81" s="557">
        <f t="shared" si="48"/>
        <v>-42505.705000000002</v>
      </c>
      <c r="AB81" s="557">
        <f t="shared" si="48"/>
        <v>-36767.955000000002</v>
      </c>
      <c r="AC81" s="557">
        <f t="shared" si="48"/>
        <v>-63798.15</v>
      </c>
      <c r="AD81" s="557">
        <f t="shared" si="48"/>
        <v>-79251.024999999994</v>
      </c>
      <c r="AE81" s="557">
        <f t="shared" si="48"/>
        <v>-100281.22</v>
      </c>
      <c r="AF81" s="557">
        <f t="shared" si="48"/>
        <v>-115511.41500000001</v>
      </c>
      <c r="AG81" s="557">
        <f t="shared" si="48"/>
        <v>-124573.41500000001</v>
      </c>
      <c r="AH81" s="557">
        <f t="shared" si="48"/>
        <v>-131635.41500000001</v>
      </c>
      <c r="AI81" s="557">
        <f t="shared" si="48"/>
        <v>-158253.61000000002</v>
      </c>
      <c r="AJ81" s="557">
        <f t="shared" si="48"/>
        <v>-157930.48500000002</v>
      </c>
      <c r="AK81" s="557">
        <f t="shared" si="48"/>
        <v>-170740.68000000002</v>
      </c>
      <c r="AL81" s="557">
        <f t="shared" si="48"/>
        <v>-177713.55500000002</v>
      </c>
      <c r="AM81" s="557">
        <f t="shared" si="48"/>
        <v>-177020.05500000002</v>
      </c>
      <c r="AN81" s="557">
        <f t="shared" si="48"/>
        <v>-174659.55500000002</v>
      </c>
      <c r="AO81" s="557">
        <f t="shared" si="48"/>
        <v>-172299.05500000002</v>
      </c>
      <c r="AP81" s="557">
        <f t="shared" si="48"/>
        <v>-169938.55500000002</v>
      </c>
      <c r="AQ81" s="557">
        <f t="shared" si="48"/>
        <v>-167578.05500000002</v>
      </c>
      <c r="AR81" s="557">
        <f t="shared" si="48"/>
        <v>-165217.55500000002</v>
      </c>
      <c r="AS81" s="557">
        <f t="shared" si="48"/>
        <v>-163157.05500000002</v>
      </c>
      <c r="AT81" s="557">
        <f t="shared" si="48"/>
        <v>-161096.55500000002</v>
      </c>
      <c r="AU81" s="557">
        <f t="shared" si="48"/>
        <v>-158236.05500000002</v>
      </c>
      <c r="AV81" s="557">
        <f t="shared" si="48"/>
        <v>-155075.55500000002</v>
      </c>
      <c r="AW81" s="557">
        <f t="shared" si="48"/>
        <v>-151915.05500000002</v>
      </c>
      <c r="AX81" s="557">
        <f t="shared" si="48"/>
        <v>-156154.55500000002</v>
      </c>
      <c r="AY81" s="558"/>
      <c r="AZ81" s="558"/>
      <c r="BA81" s="558"/>
      <c r="BB81" s="558"/>
      <c r="BC81" s="558"/>
      <c r="BD81" s="558"/>
      <c r="BE81" s="558"/>
      <c r="BF81" s="558"/>
      <c r="BG81" s="558"/>
    </row>
    <row r="82" spans="1:59" ht="43.9" hidden="1" customHeight="1">
      <c r="A82" s="844" t="s">
        <v>93</v>
      </c>
      <c r="B82" s="845"/>
      <c r="C82" s="845"/>
      <c r="D82" s="845"/>
      <c r="E82" s="846"/>
      <c r="F82" s="846"/>
      <c r="G82" s="846"/>
      <c r="H82" s="846"/>
      <c r="I82" s="846"/>
      <c r="J82" s="846"/>
      <c r="K82" s="846"/>
      <c r="L82" s="234"/>
      <c r="M82" s="234"/>
      <c r="N82" s="450"/>
      <c r="O82" s="441"/>
      <c r="P82" s="441"/>
      <c r="Q82" s="441"/>
      <c r="R82" s="441"/>
      <c r="S82" s="441"/>
      <c r="T82" s="441"/>
      <c r="U82" s="441"/>
      <c r="V82" s="441"/>
      <c r="W82" s="441"/>
      <c r="X82" s="441"/>
      <c r="Y82" s="441"/>
      <c r="Z82" s="441"/>
      <c r="AA82" s="559"/>
      <c r="AB82" s="560"/>
      <c r="AC82" s="560"/>
      <c r="AD82" s="560"/>
      <c r="AE82" s="560"/>
      <c r="AF82" s="560"/>
      <c r="AG82" s="560"/>
      <c r="AH82" s="560"/>
      <c r="AI82" s="560"/>
      <c r="AJ82" s="560"/>
      <c r="AK82" s="560"/>
      <c r="AL82" s="560"/>
      <c r="AM82" s="560"/>
      <c r="AN82" s="560"/>
      <c r="AO82" s="560"/>
      <c r="AP82" s="560"/>
      <c r="AQ82" s="560"/>
      <c r="AR82" s="560"/>
      <c r="AS82" s="560"/>
      <c r="AT82" s="560"/>
      <c r="AU82" s="560"/>
      <c r="AV82" s="560"/>
      <c r="AW82" s="560"/>
      <c r="AX82" s="560"/>
      <c r="AY82" s="561"/>
      <c r="AZ82" s="561"/>
      <c r="BA82" s="561"/>
      <c r="BB82" s="561"/>
      <c r="BC82" s="561"/>
      <c r="BD82" s="561"/>
      <c r="BE82" s="561"/>
      <c r="BF82" s="561"/>
      <c r="BG82" s="561"/>
    </row>
    <row r="83" spans="1:59" ht="19.5" hidden="1" customHeight="1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560"/>
      <c r="O83" s="560"/>
      <c r="P83" s="560"/>
      <c r="Q83" s="560"/>
      <c r="R83" s="560"/>
      <c r="S83" s="560"/>
      <c r="T83" s="560"/>
      <c r="U83" s="560"/>
      <c r="V83" s="560"/>
      <c r="W83" s="560"/>
      <c r="X83" s="560"/>
      <c r="Y83" s="560"/>
      <c r="Z83" s="560"/>
      <c r="AA83" s="559"/>
      <c r="AB83" s="560"/>
      <c r="AC83" s="560"/>
      <c r="AD83" s="560"/>
      <c r="AE83" s="560"/>
      <c r="AF83" s="560"/>
      <c r="AG83" s="560"/>
      <c r="AH83" s="560"/>
      <c r="AI83" s="560"/>
      <c r="AJ83" s="560"/>
      <c r="AK83" s="560"/>
      <c r="AL83" s="560"/>
      <c r="AM83" s="560"/>
      <c r="AN83" s="560"/>
      <c r="AO83" s="560"/>
      <c r="AP83" s="560"/>
      <c r="AQ83" s="560"/>
      <c r="AR83" s="560"/>
      <c r="AS83" s="560"/>
      <c r="AT83" s="560"/>
      <c r="AU83" s="560"/>
      <c r="AV83" s="560"/>
      <c r="AW83" s="560"/>
      <c r="AX83" s="560"/>
      <c r="AY83" s="561"/>
      <c r="AZ83" s="561"/>
      <c r="BA83" s="561"/>
      <c r="BB83" s="561"/>
      <c r="BC83" s="561"/>
      <c r="BD83" s="561"/>
      <c r="BE83" s="561"/>
      <c r="BF83" s="561"/>
      <c r="BG83" s="561"/>
    </row>
    <row r="84" spans="1:59" ht="19.5" hidden="1" customHeight="1" thickBot="1">
      <c r="A84" s="105" t="s">
        <v>57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560"/>
      <c r="O84" s="560"/>
      <c r="P84" s="560"/>
      <c r="Q84" s="560"/>
      <c r="R84" s="560"/>
      <c r="S84" s="560"/>
      <c r="T84" s="560"/>
      <c r="U84" s="560"/>
      <c r="V84" s="560"/>
      <c r="W84" s="560"/>
      <c r="X84" s="560"/>
      <c r="Y84" s="560"/>
      <c r="Z84" s="560"/>
      <c r="AA84" s="559"/>
      <c r="AB84" s="560"/>
      <c r="AC84" s="560"/>
      <c r="AD84" s="560"/>
      <c r="AE84" s="560"/>
      <c r="AF84" s="560"/>
      <c r="AG84" s="560"/>
      <c r="AH84" s="560"/>
      <c r="AI84" s="560"/>
      <c r="AJ84" s="560"/>
      <c r="AK84" s="560"/>
      <c r="AL84" s="560"/>
      <c r="AM84" s="560"/>
      <c r="AN84" s="560"/>
      <c r="AO84" s="560"/>
      <c r="AP84" s="560"/>
      <c r="AQ84" s="560"/>
      <c r="AR84" s="560"/>
      <c r="AS84" s="560"/>
      <c r="AT84" s="560"/>
      <c r="AU84" s="560"/>
      <c r="AV84" s="560"/>
      <c r="AW84" s="560"/>
      <c r="AX84" s="560"/>
      <c r="AY84" s="561"/>
      <c r="AZ84" s="561"/>
      <c r="BA84" s="561"/>
      <c r="BB84" s="561"/>
      <c r="BC84" s="561"/>
      <c r="BD84" s="561"/>
      <c r="BE84" s="561"/>
      <c r="BF84" s="561"/>
      <c r="BG84" s="561"/>
    </row>
    <row r="85" spans="1:59" ht="19.5" hidden="1" customHeight="1" thickBot="1">
      <c r="A85" s="5" t="s">
        <v>58</v>
      </c>
      <c r="B85" s="6"/>
      <c r="C85" s="6"/>
      <c r="D85" s="6"/>
      <c r="E85" s="140"/>
      <c r="F85" s="140"/>
      <c r="G85" s="140"/>
      <c r="H85" s="140"/>
      <c r="I85" s="140"/>
      <c r="J85" s="59"/>
      <c r="K85" s="59"/>
      <c r="L85" s="235"/>
      <c r="M85" s="694"/>
      <c r="N85" s="562"/>
      <c r="O85" s="562">
        <f>O9</f>
        <v>44227</v>
      </c>
      <c r="P85" s="562">
        <f t="shared" ref="P85:AX85" si="49">IF(O85="","",EOMONTH(O85,1))</f>
        <v>44255</v>
      </c>
      <c r="Q85" s="562">
        <f t="shared" si="49"/>
        <v>44286</v>
      </c>
      <c r="R85" s="562">
        <f t="shared" si="49"/>
        <v>44316</v>
      </c>
      <c r="S85" s="562">
        <f t="shared" si="49"/>
        <v>44347</v>
      </c>
      <c r="T85" s="562">
        <f t="shared" si="49"/>
        <v>44377</v>
      </c>
      <c r="U85" s="562">
        <f t="shared" si="49"/>
        <v>44408</v>
      </c>
      <c r="V85" s="562">
        <f t="shared" si="49"/>
        <v>44439</v>
      </c>
      <c r="W85" s="562">
        <f t="shared" si="49"/>
        <v>44469</v>
      </c>
      <c r="X85" s="562">
        <f t="shared" si="49"/>
        <v>44500</v>
      </c>
      <c r="Y85" s="562">
        <f t="shared" si="49"/>
        <v>44530</v>
      </c>
      <c r="Z85" s="562">
        <f t="shared" si="49"/>
        <v>44561</v>
      </c>
      <c r="AA85" s="562">
        <f t="shared" si="49"/>
        <v>44592</v>
      </c>
      <c r="AB85" s="562">
        <f t="shared" si="49"/>
        <v>44620</v>
      </c>
      <c r="AC85" s="562">
        <f t="shared" si="49"/>
        <v>44651</v>
      </c>
      <c r="AD85" s="562">
        <f t="shared" si="49"/>
        <v>44681</v>
      </c>
      <c r="AE85" s="562">
        <f t="shared" si="49"/>
        <v>44712</v>
      </c>
      <c r="AF85" s="562">
        <f t="shared" si="49"/>
        <v>44742</v>
      </c>
      <c r="AG85" s="562">
        <f t="shared" si="49"/>
        <v>44773</v>
      </c>
      <c r="AH85" s="562">
        <f t="shared" si="49"/>
        <v>44804</v>
      </c>
      <c r="AI85" s="562">
        <f t="shared" si="49"/>
        <v>44834</v>
      </c>
      <c r="AJ85" s="562">
        <f t="shared" si="49"/>
        <v>44865</v>
      </c>
      <c r="AK85" s="562">
        <f t="shared" si="49"/>
        <v>44895</v>
      </c>
      <c r="AL85" s="562">
        <f t="shared" si="49"/>
        <v>44926</v>
      </c>
      <c r="AM85" s="562">
        <f t="shared" si="49"/>
        <v>44957</v>
      </c>
      <c r="AN85" s="562">
        <f t="shared" si="49"/>
        <v>44985</v>
      </c>
      <c r="AO85" s="562">
        <f t="shared" si="49"/>
        <v>45016</v>
      </c>
      <c r="AP85" s="562">
        <f t="shared" si="49"/>
        <v>45046</v>
      </c>
      <c r="AQ85" s="562">
        <f t="shared" si="49"/>
        <v>45077</v>
      </c>
      <c r="AR85" s="562">
        <f t="shared" si="49"/>
        <v>45107</v>
      </c>
      <c r="AS85" s="562">
        <f t="shared" si="49"/>
        <v>45138</v>
      </c>
      <c r="AT85" s="562">
        <f t="shared" si="49"/>
        <v>45169</v>
      </c>
      <c r="AU85" s="562">
        <f t="shared" si="49"/>
        <v>45199</v>
      </c>
      <c r="AV85" s="562">
        <f t="shared" si="49"/>
        <v>45230</v>
      </c>
      <c r="AW85" s="562">
        <f t="shared" si="49"/>
        <v>45260</v>
      </c>
      <c r="AX85" s="562">
        <f t="shared" si="49"/>
        <v>45291</v>
      </c>
      <c r="AY85" s="561"/>
      <c r="AZ85" s="561"/>
      <c r="BA85" s="561"/>
      <c r="BB85" s="561"/>
      <c r="BC85" s="561"/>
      <c r="BD85" s="561"/>
      <c r="BE85" s="561"/>
      <c r="BF85" s="561"/>
      <c r="BG85" s="561"/>
    </row>
    <row r="86" spans="1:59" ht="19.5" hidden="1" customHeight="1">
      <c r="A86" s="107" t="s">
        <v>59</v>
      </c>
      <c r="B86" s="108"/>
      <c r="C86" s="108"/>
      <c r="D86" s="109"/>
      <c r="E86" s="145"/>
      <c r="F86" s="145"/>
      <c r="G86" s="145"/>
      <c r="H86" s="145"/>
      <c r="I86" s="145"/>
      <c r="J86" s="110"/>
      <c r="K86" s="110"/>
      <c r="L86" s="236"/>
      <c r="M86" s="695"/>
      <c r="N86" s="443"/>
      <c r="O86" s="443">
        <v>0</v>
      </c>
      <c r="P86" s="443">
        <v>0</v>
      </c>
      <c r="Q86" s="443">
        <v>0</v>
      </c>
      <c r="R86" s="443">
        <v>0</v>
      </c>
      <c r="S86" s="443">
        <v>0</v>
      </c>
      <c r="T86" s="443">
        <v>0</v>
      </c>
      <c r="U86" s="443">
        <v>0</v>
      </c>
      <c r="V86" s="443">
        <v>0</v>
      </c>
      <c r="W86" s="443">
        <v>0</v>
      </c>
      <c r="X86" s="443">
        <v>0</v>
      </c>
      <c r="Y86" s="443">
        <v>0</v>
      </c>
      <c r="Z86" s="443">
        <v>0</v>
      </c>
      <c r="AA86" s="443">
        <v>0</v>
      </c>
      <c r="AB86" s="443">
        <v>0</v>
      </c>
      <c r="AC86" s="443">
        <v>0</v>
      </c>
      <c r="AD86" s="443">
        <v>0</v>
      </c>
      <c r="AE86" s="443">
        <v>0</v>
      </c>
      <c r="AF86" s="443">
        <v>0</v>
      </c>
      <c r="AG86" s="443">
        <v>0</v>
      </c>
      <c r="AH86" s="443">
        <v>0</v>
      </c>
      <c r="AI86" s="443">
        <v>0</v>
      </c>
      <c r="AJ86" s="443">
        <v>0</v>
      </c>
      <c r="AK86" s="443">
        <v>0</v>
      </c>
      <c r="AL86" s="443">
        <v>0</v>
      </c>
      <c r="AM86" s="443">
        <v>0</v>
      </c>
      <c r="AN86" s="443">
        <v>0</v>
      </c>
      <c r="AO86" s="443">
        <v>0</v>
      </c>
      <c r="AP86" s="443">
        <v>0</v>
      </c>
      <c r="AQ86" s="443">
        <v>0</v>
      </c>
      <c r="AR86" s="443">
        <v>0</v>
      </c>
      <c r="AS86" s="443">
        <v>0</v>
      </c>
      <c r="AT86" s="443">
        <v>0</v>
      </c>
      <c r="AU86" s="443">
        <v>0</v>
      </c>
      <c r="AV86" s="443">
        <v>0</v>
      </c>
      <c r="AW86" s="443">
        <v>0</v>
      </c>
      <c r="AX86" s="443">
        <v>0</v>
      </c>
      <c r="AY86" s="561"/>
      <c r="AZ86" s="561"/>
      <c r="BA86" s="561"/>
      <c r="BB86" s="561"/>
      <c r="BC86" s="561"/>
      <c r="BD86" s="561"/>
      <c r="BE86" s="561"/>
      <c r="BF86" s="561"/>
      <c r="BG86" s="561"/>
    </row>
    <row r="87" spans="1:59" ht="19.5" hidden="1" customHeight="1">
      <c r="A87" s="107" t="s">
        <v>60</v>
      </c>
      <c r="B87" s="108"/>
      <c r="C87" s="108"/>
      <c r="D87" s="109"/>
      <c r="E87" s="145"/>
      <c r="F87" s="145"/>
      <c r="G87" s="145"/>
      <c r="H87" s="145"/>
      <c r="I87" s="145"/>
      <c r="J87" s="110"/>
      <c r="K87" s="110"/>
      <c r="L87" s="236"/>
      <c r="M87" s="695"/>
      <c r="N87" s="443"/>
      <c r="O87" s="443">
        <v>0</v>
      </c>
      <c r="P87" s="443">
        <v>0</v>
      </c>
      <c r="Q87" s="443">
        <v>0</v>
      </c>
      <c r="R87" s="443">
        <v>0</v>
      </c>
      <c r="S87" s="443">
        <v>0</v>
      </c>
      <c r="T87" s="443">
        <v>0</v>
      </c>
      <c r="U87" s="443">
        <v>0</v>
      </c>
      <c r="V87" s="443">
        <v>0</v>
      </c>
      <c r="W87" s="443">
        <v>0</v>
      </c>
      <c r="X87" s="443">
        <v>0</v>
      </c>
      <c r="Y87" s="443">
        <v>0</v>
      </c>
      <c r="Z87" s="443">
        <v>0</v>
      </c>
      <c r="AA87" s="443">
        <v>0</v>
      </c>
      <c r="AB87" s="443">
        <v>0</v>
      </c>
      <c r="AC87" s="443">
        <v>0</v>
      </c>
      <c r="AD87" s="443">
        <v>0</v>
      </c>
      <c r="AE87" s="443">
        <v>0</v>
      </c>
      <c r="AF87" s="443">
        <v>0</v>
      </c>
      <c r="AG87" s="443">
        <v>0</v>
      </c>
      <c r="AH87" s="443">
        <v>0</v>
      </c>
      <c r="AI87" s="443">
        <v>0</v>
      </c>
      <c r="AJ87" s="443">
        <v>0</v>
      </c>
      <c r="AK87" s="443">
        <v>0</v>
      </c>
      <c r="AL87" s="443">
        <v>0</v>
      </c>
      <c r="AM87" s="443">
        <v>0</v>
      </c>
      <c r="AN87" s="443">
        <v>0</v>
      </c>
      <c r="AO87" s="443">
        <v>0</v>
      </c>
      <c r="AP87" s="443">
        <v>0</v>
      </c>
      <c r="AQ87" s="443">
        <v>0</v>
      </c>
      <c r="AR87" s="443">
        <v>0</v>
      </c>
      <c r="AS87" s="443">
        <v>0</v>
      </c>
      <c r="AT87" s="443">
        <v>0</v>
      </c>
      <c r="AU87" s="443">
        <v>0</v>
      </c>
      <c r="AV87" s="443">
        <v>0</v>
      </c>
      <c r="AW87" s="443">
        <v>0</v>
      </c>
      <c r="AX87" s="443">
        <v>0</v>
      </c>
      <c r="AY87" s="561"/>
      <c r="AZ87" s="561"/>
      <c r="BA87" s="561"/>
      <c r="BB87" s="561"/>
      <c r="BC87" s="561"/>
      <c r="BD87" s="561"/>
      <c r="BE87" s="561"/>
      <c r="BF87" s="561"/>
      <c r="BG87" s="561"/>
    </row>
    <row r="88" spans="1:59" ht="19.5" hidden="1" customHeight="1">
      <c r="A88" s="113" t="s">
        <v>61</v>
      </c>
      <c r="B88" s="114"/>
      <c r="C88" s="114"/>
      <c r="D88" s="115"/>
      <c r="E88" s="146"/>
      <c r="F88" s="146"/>
      <c r="G88" s="146"/>
      <c r="H88" s="146"/>
      <c r="I88" s="146"/>
      <c r="J88" s="116"/>
      <c r="K88" s="116"/>
      <c r="L88" s="87"/>
      <c r="M88" s="695"/>
      <c r="N88" s="443"/>
      <c r="O88" s="443">
        <v>0</v>
      </c>
      <c r="P88" s="443">
        <v>0</v>
      </c>
      <c r="Q88" s="443">
        <v>0</v>
      </c>
      <c r="R88" s="443">
        <v>0</v>
      </c>
      <c r="S88" s="443">
        <v>0</v>
      </c>
      <c r="T88" s="443">
        <v>0</v>
      </c>
      <c r="U88" s="443">
        <v>0</v>
      </c>
      <c r="V88" s="443">
        <v>0</v>
      </c>
      <c r="W88" s="443">
        <v>0</v>
      </c>
      <c r="X88" s="443">
        <v>0</v>
      </c>
      <c r="Y88" s="443">
        <v>0</v>
      </c>
      <c r="Z88" s="443">
        <v>0</v>
      </c>
      <c r="AA88" s="443">
        <v>0</v>
      </c>
      <c r="AB88" s="443">
        <v>0</v>
      </c>
      <c r="AC88" s="443">
        <v>0</v>
      </c>
      <c r="AD88" s="443">
        <v>0</v>
      </c>
      <c r="AE88" s="443">
        <v>0</v>
      </c>
      <c r="AF88" s="443">
        <v>0</v>
      </c>
      <c r="AG88" s="443">
        <v>0</v>
      </c>
      <c r="AH88" s="443">
        <v>0</v>
      </c>
      <c r="AI88" s="443">
        <v>0</v>
      </c>
      <c r="AJ88" s="443">
        <v>0</v>
      </c>
      <c r="AK88" s="443">
        <v>0</v>
      </c>
      <c r="AL88" s="443">
        <v>0</v>
      </c>
      <c r="AM88" s="443">
        <v>0</v>
      </c>
      <c r="AN88" s="443">
        <v>0</v>
      </c>
      <c r="AO88" s="443">
        <v>0</v>
      </c>
      <c r="AP88" s="443">
        <v>0</v>
      </c>
      <c r="AQ88" s="443">
        <v>0</v>
      </c>
      <c r="AR88" s="443">
        <v>0</v>
      </c>
      <c r="AS88" s="443">
        <v>0</v>
      </c>
      <c r="AT88" s="443">
        <v>0</v>
      </c>
      <c r="AU88" s="443">
        <v>0</v>
      </c>
      <c r="AV88" s="443">
        <v>0</v>
      </c>
      <c r="AW88" s="443">
        <v>0</v>
      </c>
      <c r="AX88" s="443">
        <v>0</v>
      </c>
      <c r="AY88" s="561"/>
      <c r="AZ88" s="561"/>
      <c r="BA88" s="561"/>
      <c r="BB88" s="561"/>
      <c r="BC88" s="561"/>
      <c r="BD88" s="561"/>
      <c r="BE88" s="561"/>
      <c r="BF88" s="561"/>
      <c r="BG88" s="561"/>
    </row>
    <row r="89" spans="1:59" ht="19.5" hidden="1" customHeight="1" thickBot="1">
      <c r="A89" s="113" t="s">
        <v>62</v>
      </c>
      <c r="B89" s="114"/>
      <c r="C89" s="114"/>
      <c r="D89" s="115"/>
      <c r="E89" s="146"/>
      <c r="F89" s="146"/>
      <c r="G89" s="146"/>
      <c r="H89" s="146"/>
      <c r="I89" s="146"/>
      <c r="J89" s="116"/>
      <c r="K89" s="116"/>
      <c r="L89" s="87"/>
      <c r="M89" s="695"/>
      <c r="N89" s="443"/>
      <c r="O89" s="443">
        <v>0</v>
      </c>
      <c r="P89" s="443">
        <v>0</v>
      </c>
      <c r="Q89" s="443">
        <v>0</v>
      </c>
      <c r="R89" s="443">
        <v>0</v>
      </c>
      <c r="S89" s="443">
        <v>0</v>
      </c>
      <c r="T89" s="443">
        <v>0</v>
      </c>
      <c r="U89" s="443">
        <v>0</v>
      </c>
      <c r="V89" s="443">
        <v>0</v>
      </c>
      <c r="W89" s="443">
        <v>0</v>
      </c>
      <c r="X89" s="443">
        <v>0</v>
      </c>
      <c r="Y89" s="443">
        <v>0</v>
      </c>
      <c r="Z89" s="443">
        <v>0</v>
      </c>
      <c r="AA89" s="443">
        <v>0</v>
      </c>
      <c r="AB89" s="443">
        <v>0</v>
      </c>
      <c r="AC89" s="443">
        <v>0</v>
      </c>
      <c r="AD89" s="443">
        <v>0</v>
      </c>
      <c r="AE89" s="443">
        <v>0</v>
      </c>
      <c r="AF89" s="443">
        <v>0</v>
      </c>
      <c r="AG89" s="443">
        <v>0</v>
      </c>
      <c r="AH89" s="443">
        <v>0</v>
      </c>
      <c r="AI89" s="443">
        <v>0</v>
      </c>
      <c r="AJ89" s="443">
        <v>0</v>
      </c>
      <c r="AK89" s="443">
        <v>0</v>
      </c>
      <c r="AL89" s="443">
        <v>0</v>
      </c>
      <c r="AM89" s="443">
        <v>0</v>
      </c>
      <c r="AN89" s="443">
        <v>0</v>
      </c>
      <c r="AO89" s="443">
        <v>0</v>
      </c>
      <c r="AP89" s="443">
        <v>0</v>
      </c>
      <c r="AQ89" s="443">
        <v>0</v>
      </c>
      <c r="AR89" s="443">
        <v>0</v>
      </c>
      <c r="AS89" s="443">
        <v>0</v>
      </c>
      <c r="AT89" s="443">
        <v>0</v>
      </c>
      <c r="AU89" s="443">
        <v>0</v>
      </c>
      <c r="AV89" s="443">
        <v>0</v>
      </c>
      <c r="AW89" s="443">
        <v>0</v>
      </c>
      <c r="AX89" s="443">
        <v>0</v>
      </c>
      <c r="AY89" s="561"/>
      <c r="AZ89" s="561"/>
      <c r="BA89" s="561"/>
      <c r="BB89" s="561"/>
      <c r="BC89" s="561"/>
      <c r="BD89" s="561"/>
      <c r="BE89" s="561"/>
      <c r="BF89" s="561"/>
      <c r="BG89" s="561"/>
    </row>
    <row r="90" spans="1:59" ht="19.5" hidden="1" customHeight="1" thickBot="1">
      <c r="A90" s="118" t="s">
        <v>63</v>
      </c>
      <c r="B90" s="91"/>
      <c r="C90" s="91"/>
      <c r="D90" s="119"/>
      <c r="E90" s="147"/>
      <c r="F90" s="147"/>
      <c r="G90" s="147"/>
      <c r="H90" s="147"/>
      <c r="I90" s="147"/>
      <c r="J90" s="120"/>
      <c r="K90" s="120"/>
      <c r="L90" s="120"/>
      <c r="M90" s="696"/>
      <c r="N90" s="563"/>
      <c r="O90" s="563">
        <f t="shared" ref="O90:AX90" si="50">O86+O87-O88-O89</f>
        <v>0</v>
      </c>
      <c r="P90" s="563">
        <f t="shared" si="50"/>
        <v>0</v>
      </c>
      <c r="Q90" s="563">
        <f t="shared" si="50"/>
        <v>0</v>
      </c>
      <c r="R90" s="563">
        <f t="shared" si="50"/>
        <v>0</v>
      </c>
      <c r="S90" s="563">
        <f t="shared" si="50"/>
        <v>0</v>
      </c>
      <c r="T90" s="563">
        <f t="shared" si="50"/>
        <v>0</v>
      </c>
      <c r="U90" s="563">
        <f t="shared" si="50"/>
        <v>0</v>
      </c>
      <c r="V90" s="563">
        <f t="shared" si="50"/>
        <v>0</v>
      </c>
      <c r="W90" s="563">
        <f t="shared" si="50"/>
        <v>0</v>
      </c>
      <c r="X90" s="563">
        <f t="shared" si="50"/>
        <v>0</v>
      </c>
      <c r="Y90" s="563">
        <f t="shared" si="50"/>
        <v>0</v>
      </c>
      <c r="Z90" s="563">
        <f t="shared" si="50"/>
        <v>0</v>
      </c>
      <c r="AA90" s="563">
        <f t="shared" si="50"/>
        <v>0</v>
      </c>
      <c r="AB90" s="563">
        <f t="shared" si="50"/>
        <v>0</v>
      </c>
      <c r="AC90" s="563">
        <f t="shared" si="50"/>
        <v>0</v>
      </c>
      <c r="AD90" s="563">
        <f t="shared" si="50"/>
        <v>0</v>
      </c>
      <c r="AE90" s="563">
        <f t="shared" si="50"/>
        <v>0</v>
      </c>
      <c r="AF90" s="563">
        <f t="shared" si="50"/>
        <v>0</v>
      </c>
      <c r="AG90" s="563">
        <f t="shared" si="50"/>
        <v>0</v>
      </c>
      <c r="AH90" s="563">
        <f t="shared" si="50"/>
        <v>0</v>
      </c>
      <c r="AI90" s="563">
        <f t="shared" si="50"/>
        <v>0</v>
      </c>
      <c r="AJ90" s="563">
        <f t="shared" si="50"/>
        <v>0</v>
      </c>
      <c r="AK90" s="563">
        <f t="shared" si="50"/>
        <v>0</v>
      </c>
      <c r="AL90" s="563">
        <f t="shared" si="50"/>
        <v>0</v>
      </c>
      <c r="AM90" s="563">
        <f t="shared" si="50"/>
        <v>0</v>
      </c>
      <c r="AN90" s="563">
        <f t="shared" si="50"/>
        <v>0</v>
      </c>
      <c r="AO90" s="563">
        <f t="shared" si="50"/>
        <v>0</v>
      </c>
      <c r="AP90" s="563">
        <f t="shared" si="50"/>
        <v>0</v>
      </c>
      <c r="AQ90" s="563">
        <f t="shared" si="50"/>
        <v>0</v>
      </c>
      <c r="AR90" s="563">
        <f t="shared" si="50"/>
        <v>0</v>
      </c>
      <c r="AS90" s="563">
        <f t="shared" si="50"/>
        <v>0</v>
      </c>
      <c r="AT90" s="563">
        <f t="shared" si="50"/>
        <v>0</v>
      </c>
      <c r="AU90" s="563">
        <f t="shared" si="50"/>
        <v>0</v>
      </c>
      <c r="AV90" s="563">
        <f t="shared" si="50"/>
        <v>0</v>
      </c>
      <c r="AW90" s="563">
        <f t="shared" si="50"/>
        <v>0</v>
      </c>
      <c r="AX90" s="563">
        <f t="shared" si="50"/>
        <v>0</v>
      </c>
      <c r="AY90" s="561"/>
      <c r="AZ90" s="561"/>
      <c r="BA90" s="561"/>
      <c r="BB90" s="561"/>
      <c r="BC90" s="561"/>
      <c r="BD90" s="561"/>
      <c r="BE90" s="561"/>
      <c r="BF90" s="561"/>
      <c r="BG90" s="561"/>
    </row>
    <row r="91" spans="1:59" ht="19.5" hidden="1" customHeight="1" thickBot="1">
      <c r="A91" s="118" t="s">
        <v>64</v>
      </c>
      <c r="B91" s="91"/>
      <c r="C91" s="91"/>
      <c r="D91" s="119"/>
      <c r="E91" s="147"/>
      <c r="F91" s="147"/>
      <c r="G91" s="147"/>
      <c r="H91" s="147"/>
      <c r="I91" s="147"/>
      <c r="J91" s="120"/>
      <c r="K91" s="120"/>
      <c r="L91" s="120"/>
      <c r="M91" s="696"/>
      <c r="N91" s="563"/>
      <c r="O91" s="563">
        <f>IF(O86+O87-O88-O89&lt;0,-(O86+O87-O88-O89),0)</f>
        <v>0</v>
      </c>
      <c r="P91" s="563">
        <v>0</v>
      </c>
      <c r="Q91" s="563">
        <v>0</v>
      </c>
      <c r="R91" s="563">
        <v>0</v>
      </c>
      <c r="S91" s="563">
        <v>0</v>
      </c>
      <c r="T91" s="563">
        <v>0</v>
      </c>
      <c r="U91" s="563">
        <v>0</v>
      </c>
      <c r="V91" s="563">
        <v>0</v>
      </c>
      <c r="W91" s="563">
        <v>0</v>
      </c>
      <c r="X91" s="563">
        <v>0</v>
      </c>
      <c r="Y91" s="563">
        <v>0</v>
      </c>
      <c r="Z91" s="563">
        <v>0</v>
      </c>
      <c r="AA91" s="563">
        <v>0</v>
      </c>
      <c r="AB91" s="563">
        <v>0</v>
      </c>
      <c r="AC91" s="563">
        <v>0</v>
      </c>
      <c r="AD91" s="563">
        <v>0</v>
      </c>
      <c r="AE91" s="563">
        <v>0</v>
      </c>
      <c r="AF91" s="563">
        <v>0</v>
      </c>
      <c r="AG91" s="563">
        <v>0</v>
      </c>
      <c r="AH91" s="563">
        <v>0</v>
      </c>
      <c r="AI91" s="563">
        <v>0</v>
      </c>
      <c r="AJ91" s="563">
        <v>0</v>
      </c>
      <c r="AK91" s="563">
        <v>0</v>
      </c>
      <c r="AL91" s="563">
        <v>0</v>
      </c>
      <c r="AM91" s="563">
        <v>0</v>
      </c>
      <c r="AN91" s="563">
        <v>0</v>
      </c>
      <c r="AO91" s="563">
        <v>0</v>
      </c>
      <c r="AP91" s="563">
        <v>0</v>
      </c>
      <c r="AQ91" s="563">
        <v>0</v>
      </c>
      <c r="AR91" s="563">
        <v>0</v>
      </c>
      <c r="AS91" s="563">
        <v>0</v>
      </c>
      <c r="AT91" s="563">
        <v>0</v>
      </c>
      <c r="AU91" s="563">
        <v>0</v>
      </c>
      <c r="AV91" s="563">
        <v>0</v>
      </c>
      <c r="AW91" s="563">
        <v>0</v>
      </c>
      <c r="AX91" s="563">
        <v>0</v>
      </c>
      <c r="AY91" s="561"/>
      <c r="AZ91" s="561"/>
      <c r="BA91" s="561"/>
      <c r="BB91" s="561"/>
      <c r="BC91" s="561"/>
      <c r="BD91" s="561"/>
      <c r="BE91" s="561"/>
      <c r="BF91" s="561"/>
      <c r="BG91" s="561"/>
    </row>
    <row r="92" spans="1:59" ht="19.5" hidden="1" customHeight="1" thickBot="1">
      <c r="A92" s="5" t="s">
        <v>65</v>
      </c>
      <c r="B92" s="54"/>
      <c r="C92" s="54"/>
      <c r="D92" s="124"/>
      <c r="E92" s="148"/>
      <c r="F92" s="148"/>
      <c r="G92" s="148"/>
      <c r="H92" s="148"/>
      <c r="I92" s="148"/>
      <c r="J92" s="125"/>
      <c r="K92" s="125"/>
      <c r="L92" s="125"/>
      <c r="M92" s="697"/>
      <c r="N92" s="564"/>
      <c r="O92" s="564">
        <f t="shared" ref="O92:AX92" si="51">O90</f>
        <v>0</v>
      </c>
      <c r="P92" s="564">
        <f t="shared" si="51"/>
        <v>0</v>
      </c>
      <c r="Q92" s="564">
        <f t="shared" si="51"/>
        <v>0</v>
      </c>
      <c r="R92" s="564">
        <f t="shared" si="51"/>
        <v>0</v>
      </c>
      <c r="S92" s="564">
        <f t="shared" si="51"/>
        <v>0</v>
      </c>
      <c r="T92" s="564">
        <f t="shared" si="51"/>
        <v>0</v>
      </c>
      <c r="U92" s="564">
        <f t="shared" si="51"/>
        <v>0</v>
      </c>
      <c r="V92" s="564">
        <f t="shared" si="51"/>
        <v>0</v>
      </c>
      <c r="W92" s="564">
        <f t="shared" si="51"/>
        <v>0</v>
      </c>
      <c r="X92" s="564">
        <f t="shared" si="51"/>
        <v>0</v>
      </c>
      <c r="Y92" s="564">
        <f t="shared" si="51"/>
        <v>0</v>
      </c>
      <c r="Z92" s="564">
        <f t="shared" si="51"/>
        <v>0</v>
      </c>
      <c r="AA92" s="564">
        <f t="shared" si="51"/>
        <v>0</v>
      </c>
      <c r="AB92" s="564">
        <f t="shared" si="51"/>
        <v>0</v>
      </c>
      <c r="AC92" s="564">
        <f t="shared" si="51"/>
        <v>0</v>
      </c>
      <c r="AD92" s="564">
        <f t="shared" si="51"/>
        <v>0</v>
      </c>
      <c r="AE92" s="564">
        <f t="shared" si="51"/>
        <v>0</v>
      </c>
      <c r="AF92" s="564">
        <f t="shared" si="51"/>
        <v>0</v>
      </c>
      <c r="AG92" s="564">
        <f t="shared" si="51"/>
        <v>0</v>
      </c>
      <c r="AH92" s="564">
        <f t="shared" si="51"/>
        <v>0</v>
      </c>
      <c r="AI92" s="564">
        <f t="shared" si="51"/>
        <v>0</v>
      </c>
      <c r="AJ92" s="564">
        <f t="shared" si="51"/>
        <v>0</v>
      </c>
      <c r="AK92" s="564">
        <f t="shared" si="51"/>
        <v>0</v>
      </c>
      <c r="AL92" s="564">
        <f t="shared" si="51"/>
        <v>0</v>
      </c>
      <c r="AM92" s="564">
        <f t="shared" si="51"/>
        <v>0</v>
      </c>
      <c r="AN92" s="564">
        <f t="shared" si="51"/>
        <v>0</v>
      </c>
      <c r="AO92" s="564">
        <f t="shared" si="51"/>
        <v>0</v>
      </c>
      <c r="AP92" s="564">
        <f t="shared" si="51"/>
        <v>0</v>
      </c>
      <c r="AQ92" s="564">
        <f t="shared" si="51"/>
        <v>0</v>
      </c>
      <c r="AR92" s="564">
        <f t="shared" si="51"/>
        <v>0</v>
      </c>
      <c r="AS92" s="564">
        <f t="shared" si="51"/>
        <v>0</v>
      </c>
      <c r="AT92" s="564">
        <f t="shared" si="51"/>
        <v>0</v>
      </c>
      <c r="AU92" s="564">
        <f t="shared" si="51"/>
        <v>0</v>
      </c>
      <c r="AV92" s="564">
        <f t="shared" si="51"/>
        <v>0</v>
      </c>
      <c r="AW92" s="564">
        <f t="shared" si="51"/>
        <v>0</v>
      </c>
      <c r="AX92" s="564">
        <f t="shared" si="51"/>
        <v>0</v>
      </c>
      <c r="AY92" s="561"/>
      <c r="AZ92" s="561"/>
      <c r="BA92" s="561"/>
      <c r="BB92" s="561"/>
      <c r="BC92" s="561"/>
      <c r="BD92" s="561"/>
      <c r="BE92" s="561"/>
      <c r="BF92" s="561"/>
      <c r="BG92" s="561"/>
    </row>
    <row r="93" spans="1:59" ht="19.5" hidden="1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560"/>
      <c r="O93" s="560"/>
      <c r="P93" s="560"/>
      <c r="Q93" s="560"/>
      <c r="R93" s="560"/>
      <c r="S93" s="560"/>
      <c r="T93" s="560"/>
      <c r="U93" s="560"/>
      <c r="V93" s="560"/>
      <c r="W93" s="560"/>
      <c r="X93" s="560"/>
      <c r="Y93" s="560"/>
      <c r="Z93" s="560"/>
      <c r="AA93" s="559"/>
      <c r="AB93" s="560"/>
      <c r="AC93" s="560"/>
      <c r="AD93" s="560"/>
      <c r="AE93" s="560"/>
      <c r="AF93" s="560"/>
      <c r="AG93" s="560"/>
      <c r="AH93" s="560"/>
      <c r="AI93" s="560"/>
      <c r="AJ93" s="560"/>
      <c r="AK93" s="560"/>
      <c r="AL93" s="560"/>
      <c r="AM93" s="560"/>
      <c r="AN93" s="560"/>
      <c r="AO93" s="560"/>
      <c r="AP93" s="560"/>
      <c r="AQ93" s="560"/>
      <c r="AR93" s="560"/>
      <c r="AS93" s="560"/>
      <c r="AT93" s="560"/>
      <c r="AU93" s="560"/>
      <c r="AV93" s="560"/>
      <c r="AW93" s="560"/>
      <c r="AX93" s="560"/>
      <c r="AY93" s="561"/>
      <c r="AZ93" s="561"/>
      <c r="BA93" s="561"/>
      <c r="BB93" s="561"/>
      <c r="BC93" s="561"/>
      <c r="BD93" s="561"/>
      <c r="BE93" s="561"/>
      <c r="BF93" s="561"/>
      <c r="BG93" s="561"/>
    </row>
    <row r="94" spans="1:59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560"/>
      <c r="O94" s="560"/>
      <c r="P94" s="560"/>
      <c r="Q94" s="560"/>
      <c r="R94" s="560"/>
      <c r="S94" s="560"/>
      <c r="T94" s="560"/>
      <c r="U94" s="560"/>
      <c r="V94" s="560"/>
      <c r="W94" s="560"/>
      <c r="X94" s="560"/>
      <c r="Y94" s="560"/>
      <c r="Z94" s="560"/>
      <c r="AA94" s="559"/>
      <c r="AB94" s="560"/>
      <c r="AC94" s="560"/>
      <c r="AD94" s="560"/>
      <c r="AE94" s="560"/>
      <c r="AF94" s="560"/>
      <c r="AG94" s="560"/>
      <c r="AH94" s="560"/>
      <c r="AI94" s="560"/>
      <c r="AJ94" s="560"/>
      <c r="AK94" s="560"/>
      <c r="AL94" s="560"/>
      <c r="AM94" s="560"/>
      <c r="AN94" s="560"/>
      <c r="AO94" s="560"/>
      <c r="AP94" s="560"/>
      <c r="AQ94" s="560"/>
      <c r="AR94" s="560"/>
      <c r="AS94" s="560"/>
      <c r="AT94" s="560"/>
      <c r="AU94" s="560"/>
      <c r="AV94" s="560"/>
      <c r="AW94" s="560"/>
      <c r="AX94" s="560"/>
      <c r="AY94" s="561"/>
      <c r="AZ94" s="561"/>
      <c r="BA94" s="561"/>
      <c r="BB94" s="561"/>
      <c r="BC94" s="561"/>
      <c r="BD94" s="561"/>
      <c r="BE94" s="561"/>
      <c r="BF94" s="561"/>
      <c r="BG94" s="561"/>
    </row>
    <row r="95" spans="1:59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560"/>
      <c r="O95" s="560"/>
      <c r="P95" s="560"/>
      <c r="Q95" s="560"/>
      <c r="R95" s="560"/>
      <c r="S95" s="560"/>
      <c r="T95" s="560"/>
      <c r="U95" s="560"/>
      <c r="V95" s="560"/>
      <c r="W95" s="560"/>
      <c r="X95" s="560"/>
      <c r="Y95" s="560"/>
      <c r="Z95" s="560"/>
      <c r="AA95" s="559"/>
      <c r="AB95" s="560"/>
      <c r="AC95" s="560"/>
      <c r="AD95" s="560"/>
      <c r="AE95" s="560"/>
      <c r="AF95" s="560"/>
      <c r="AG95" s="560"/>
      <c r="AH95" s="560"/>
      <c r="AI95" s="560"/>
      <c r="AJ95" s="560"/>
      <c r="AK95" s="560"/>
      <c r="AL95" s="560"/>
      <c r="AM95" s="560"/>
      <c r="AN95" s="560"/>
      <c r="AO95" s="560"/>
      <c r="AP95" s="560"/>
      <c r="AQ95" s="560"/>
      <c r="AR95" s="560"/>
      <c r="AS95" s="560"/>
      <c r="AT95" s="560"/>
      <c r="AU95" s="560"/>
      <c r="AV95" s="560"/>
      <c r="AW95" s="560"/>
      <c r="AX95" s="560"/>
      <c r="AY95" s="561"/>
      <c r="AZ95" s="561"/>
      <c r="BA95" s="561"/>
      <c r="BB95" s="561"/>
      <c r="BC95" s="561"/>
      <c r="BD95" s="561"/>
      <c r="BE95" s="561"/>
      <c r="BF95" s="561"/>
      <c r="BG95" s="561"/>
    </row>
    <row r="96" spans="1:59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560"/>
      <c r="O96" s="560"/>
      <c r="P96" s="560"/>
      <c r="Q96" s="560"/>
      <c r="R96" s="560"/>
      <c r="S96" s="560"/>
      <c r="T96" s="560"/>
      <c r="U96" s="560"/>
      <c r="V96" s="560"/>
      <c r="W96" s="560"/>
      <c r="X96" s="560"/>
      <c r="Y96" s="560"/>
      <c r="Z96" s="560"/>
      <c r="AA96" s="559"/>
      <c r="AB96" s="560"/>
      <c r="AC96" s="560"/>
      <c r="AD96" s="560"/>
      <c r="AE96" s="560"/>
      <c r="AF96" s="560"/>
      <c r="AG96" s="560"/>
      <c r="AH96" s="560"/>
      <c r="AI96" s="560"/>
      <c r="AJ96" s="560"/>
      <c r="AK96" s="560"/>
      <c r="AL96" s="560"/>
      <c r="AM96" s="560"/>
      <c r="AN96" s="560"/>
      <c r="AO96" s="560"/>
      <c r="AP96" s="560"/>
      <c r="AQ96" s="560"/>
      <c r="AR96" s="560"/>
      <c r="AS96" s="560"/>
      <c r="AT96" s="560"/>
      <c r="AU96" s="560"/>
      <c r="AV96" s="560"/>
      <c r="AW96" s="560"/>
      <c r="AX96" s="560"/>
      <c r="AY96" s="561"/>
      <c r="AZ96" s="561"/>
      <c r="BA96" s="561"/>
      <c r="BB96" s="561"/>
      <c r="BC96" s="561"/>
      <c r="BD96" s="561"/>
      <c r="BE96" s="561"/>
      <c r="BF96" s="561"/>
      <c r="BG96" s="561"/>
    </row>
    <row r="97" spans="1:59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560"/>
      <c r="O97" s="560"/>
      <c r="P97" s="560"/>
      <c r="Q97" s="560"/>
      <c r="R97" s="560"/>
      <c r="S97" s="560"/>
      <c r="T97" s="560"/>
      <c r="U97" s="560"/>
      <c r="V97" s="560"/>
      <c r="W97" s="560"/>
      <c r="X97" s="560"/>
      <c r="Y97" s="560"/>
      <c r="Z97" s="560"/>
      <c r="AA97" s="559"/>
      <c r="AB97" s="560"/>
      <c r="AC97" s="560"/>
      <c r="AD97" s="560"/>
      <c r="AE97" s="560"/>
      <c r="AF97" s="560"/>
      <c r="AG97" s="560"/>
      <c r="AH97" s="560"/>
      <c r="AI97" s="560"/>
      <c r="AJ97" s="560"/>
      <c r="AK97" s="560"/>
      <c r="AL97" s="560"/>
      <c r="AM97" s="560"/>
      <c r="AN97" s="560"/>
      <c r="AO97" s="560"/>
      <c r="AP97" s="560"/>
      <c r="AQ97" s="560"/>
      <c r="AR97" s="560"/>
      <c r="AS97" s="560"/>
      <c r="AT97" s="560"/>
      <c r="AU97" s="560"/>
      <c r="AV97" s="560"/>
      <c r="AW97" s="560"/>
      <c r="AX97" s="560"/>
      <c r="AY97" s="561"/>
      <c r="AZ97" s="561"/>
      <c r="BA97" s="561"/>
      <c r="BB97" s="561"/>
      <c r="BC97" s="561"/>
      <c r="BD97" s="561"/>
      <c r="BE97" s="561"/>
      <c r="BF97" s="561"/>
      <c r="BG97" s="561"/>
    </row>
    <row r="98" spans="1:59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560"/>
      <c r="O98" s="560"/>
      <c r="P98" s="560"/>
      <c r="Q98" s="560"/>
      <c r="R98" s="560"/>
      <c r="S98" s="560"/>
      <c r="T98" s="560"/>
      <c r="U98" s="560"/>
      <c r="V98" s="560"/>
      <c r="W98" s="560"/>
      <c r="X98" s="560"/>
      <c r="Y98" s="560"/>
      <c r="Z98" s="560"/>
      <c r="AA98" s="559"/>
      <c r="AB98" s="560"/>
      <c r="AC98" s="560"/>
      <c r="AD98" s="560"/>
      <c r="AE98" s="560"/>
      <c r="AF98" s="560"/>
      <c r="AG98" s="560"/>
      <c r="AH98" s="560"/>
      <c r="AI98" s="560"/>
      <c r="AJ98" s="560"/>
      <c r="AK98" s="560"/>
      <c r="AL98" s="560"/>
      <c r="AM98" s="560"/>
      <c r="AN98" s="560"/>
      <c r="AO98" s="560"/>
      <c r="AP98" s="560"/>
      <c r="AQ98" s="560"/>
      <c r="AR98" s="560"/>
      <c r="AS98" s="560"/>
      <c r="AT98" s="560"/>
      <c r="AU98" s="560"/>
      <c r="AV98" s="560"/>
      <c r="AW98" s="560"/>
      <c r="AX98" s="560"/>
      <c r="AY98" s="561"/>
      <c r="AZ98" s="561"/>
      <c r="BA98" s="561"/>
      <c r="BB98" s="561"/>
      <c r="BC98" s="561"/>
      <c r="BD98" s="561"/>
      <c r="BE98" s="561"/>
      <c r="BF98" s="561"/>
      <c r="BG98" s="561"/>
    </row>
    <row r="99" spans="1:59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560"/>
      <c r="O99" s="560"/>
      <c r="P99" s="560"/>
      <c r="Q99" s="560"/>
      <c r="R99" s="560"/>
      <c r="S99" s="560"/>
      <c r="T99" s="560"/>
      <c r="U99" s="560"/>
      <c r="V99" s="560"/>
      <c r="W99" s="560"/>
      <c r="X99" s="560"/>
      <c r="Y99" s="560"/>
      <c r="Z99" s="560"/>
      <c r="AA99" s="559"/>
      <c r="AB99" s="560"/>
      <c r="AC99" s="560"/>
      <c r="AD99" s="560"/>
      <c r="AE99" s="560"/>
      <c r="AF99" s="560"/>
      <c r="AG99" s="560"/>
      <c r="AH99" s="560"/>
      <c r="AI99" s="560"/>
      <c r="AJ99" s="560"/>
      <c r="AK99" s="560"/>
      <c r="AL99" s="560"/>
      <c r="AM99" s="560"/>
      <c r="AN99" s="560"/>
      <c r="AO99" s="560"/>
      <c r="AP99" s="560"/>
      <c r="AQ99" s="560"/>
      <c r="AR99" s="560"/>
      <c r="AS99" s="560"/>
      <c r="AT99" s="560"/>
      <c r="AU99" s="560"/>
      <c r="AV99" s="560"/>
      <c r="AW99" s="560"/>
      <c r="AX99" s="560"/>
      <c r="AY99" s="561"/>
      <c r="AZ99" s="561"/>
      <c r="BA99" s="561"/>
      <c r="BB99" s="561"/>
      <c r="BC99" s="561"/>
      <c r="BD99" s="561"/>
      <c r="BE99" s="561"/>
      <c r="BF99" s="561"/>
      <c r="BG99" s="561"/>
    </row>
    <row r="100" spans="1:59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560"/>
      <c r="O100" s="560"/>
      <c r="P100" s="560"/>
      <c r="Q100" s="560"/>
      <c r="R100" s="560"/>
      <c r="S100" s="560"/>
      <c r="T100" s="560"/>
      <c r="U100" s="560"/>
      <c r="V100" s="560"/>
      <c r="W100" s="560"/>
      <c r="X100" s="560"/>
      <c r="Y100" s="560"/>
      <c r="Z100" s="560"/>
      <c r="AA100" s="559"/>
      <c r="AB100" s="560"/>
      <c r="AC100" s="560"/>
      <c r="AD100" s="560"/>
      <c r="AE100" s="560"/>
      <c r="AF100" s="560"/>
      <c r="AG100" s="560"/>
      <c r="AH100" s="560"/>
      <c r="AI100" s="560"/>
      <c r="AJ100" s="560"/>
      <c r="AK100" s="560"/>
      <c r="AL100" s="560"/>
      <c r="AM100" s="560"/>
      <c r="AN100" s="560"/>
      <c r="AO100" s="560"/>
      <c r="AP100" s="560"/>
      <c r="AQ100" s="560"/>
      <c r="AR100" s="560"/>
      <c r="AS100" s="560"/>
      <c r="AT100" s="560"/>
      <c r="AU100" s="560"/>
      <c r="AV100" s="560"/>
      <c r="AW100" s="560"/>
      <c r="AX100" s="560"/>
      <c r="AY100" s="561"/>
      <c r="AZ100" s="561"/>
      <c r="BA100" s="561"/>
      <c r="BB100" s="561"/>
      <c r="BC100" s="561"/>
      <c r="BD100" s="561"/>
      <c r="BE100" s="561"/>
      <c r="BF100" s="561"/>
      <c r="BG100" s="561"/>
    </row>
    <row r="101" spans="1:59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560"/>
      <c r="O101" s="560"/>
      <c r="P101" s="560"/>
      <c r="Q101" s="560"/>
      <c r="R101" s="560"/>
      <c r="S101" s="560"/>
      <c r="T101" s="560"/>
      <c r="U101" s="560"/>
      <c r="V101" s="560"/>
      <c r="W101" s="560"/>
      <c r="X101" s="560"/>
      <c r="Y101" s="560"/>
      <c r="Z101" s="560"/>
      <c r="AA101" s="559"/>
      <c r="AB101" s="560"/>
      <c r="AC101" s="560"/>
      <c r="AD101" s="560"/>
      <c r="AE101" s="560"/>
      <c r="AF101" s="560"/>
      <c r="AG101" s="560"/>
      <c r="AH101" s="560"/>
      <c r="AI101" s="560"/>
      <c r="AJ101" s="560"/>
      <c r="AK101" s="560"/>
      <c r="AL101" s="560"/>
      <c r="AM101" s="560"/>
      <c r="AN101" s="560"/>
      <c r="AO101" s="560"/>
      <c r="AP101" s="560"/>
      <c r="AQ101" s="560"/>
      <c r="AR101" s="560"/>
      <c r="AS101" s="560"/>
      <c r="AT101" s="560"/>
      <c r="AU101" s="560"/>
      <c r="AV101" s="560"/>
      <c r="AW101" s="560"/>
      <c r="AX101" s="560"/>
      <c r="AY101" s="561"/>
      <c r="AZ101" s="561"/>
      <c r="BA101" s="561"/>
      <c r="BB101" s="561"/>
      <c r="BC101" s="561"/>
      <c r="BD101" s="561"/>
      <c r="BE101" s="561"/>
      <c r="BF101" s="561"/>
      <c r="BG101" s="561"/>
    </row>
    <row r="102" spans="1:59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560"/>
      <c r="O102" s="560"/>
      <c r="P102" s="560"/>
      <c r="Q102" s="560"/>
      <c r="R102" s="560"/>
      <c r="S102" s="560"/>
      <c r="T102" s="560"/>
      <c r="U102" s="560"/>
      <c r="V102" s="560"/>
      <c r="W102" s="560"/>
      <c r="X102" s="560"/>
      <c r="Y102" s="560"/>
      <c r="Z102" s="560"/>
      <c r="AA102" s="559"/>
      <c r="AB102" s="560"/>
      <c r="AC102" s="560"/>
      <c r="AD102" s="560"/>
      <c r="AE102" s="560"/>
      <c r="AF102" s="560"/>
      <c r="AG102" s="560"/>
      <c r="AH102" s="560"/>
      <c r="AI102" s="560"/>
      <c r="AJ102" s="560"/>
      <c r="AK102" s="560"/>
      <c r="AL102" s="560"/>
      <c r="AM102" s="560"/>
      <c r="AN102" s="560"/>
      <c r="AO102" s="560"/>
      <c r="AP102" s="560"/>
      <c r="AQ102" s="560"/>
      <c r="AR102" s="560"/>
      <c r="AS102" s="560"/>
      <c r="AT102" s="560"/>
      <c r="AU102" s="560"/>
      <c r="AV102" s="560"/>
      <c r="AW102" s="560"/>
      <c r="AX102" s="560"/>
      <c r="AY102" s="561"/>
      <c r="AZ102" s="561"/>
      <c r="BA102" s="561"/>
      <c r="BB102" s="561"/>
      <c r="BC102" s="561"/>
      <c r="BD102" s="561"/>
      <c r="BE102" s="561"/>
      <c r="BF102" s="561"/>
      <c r="BG102" s="561"/>
    </row>
    <row r="103" spans="1:59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560"/>
      <c r="O103" s="560"/>
      <c r="P103" s="560"/>
      <c r="Q103" s="560"/>
      <c r="R103" s="560"/>
      <c r="S103" s="560"/>
      <c r="T103" s="560"/>
      <c r="U103" s="560"/>
      <c r="V103" s="560"/>
      <c r="W103" s="560"/>
      <c r="X103" s="560"/>
      <c r="Y103" s="560"/>
      <c r="Z103" s="560"/>
      <c r="AA103" s="559"/>
      <c r="AB103" s="560"/>
      <c r="AC103" s="560"/>
      <c r="AD103" s="560"/>
      <c r="AE103" s="560"/>
      <c r="AF103" s="560"/>
      <c r="AG103" s="560"/>
      <c r="AH103" s="560"/>
      <c r="AI103" s="560"/>
      <c r="AJ103" s="560"/>
      <c r="AK103" s="560"/>
      <c r="AL103" s="560"/>
      <c r="AM103" s="560"/>
      <c r="AN103" s="560"/>
      <c r="AO103" s="560"/>
      <c r="AP103" s="560"/>
      <c r="AQ103" s="560"/>
      <c r="AR103" s="560"/>
      <c r="AS103" s="560"/>
      <c r="AT103" s="560"/>
      <c r="AU103" s="560"/>
      <c r="AV103" s="560"/>
      <c r="AW103" s="560"/>
      <c r="AX103" s="560"/>
      <c r="AY103" s="561"/>
      <c r="AZ103" s="561"/>
      <c r="BA103" s="561"/>
      <c r="BB103" s="561"/>
      <c r="BC103" s="561"/>
      <c r="BD103" s="561"/>
      <c r="BE103" s="561"/>
      <c r="BF103" s="561"/>
      <c r="BG103" s="561"/>
    </row>
    <row r="104" spans="1:59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560"/>
      <c r="O104" s="560"/>
      <c r="P104" s="560"/>
      <c r="Q104" s="560"/>
      <c r="R104" s="560"/>
      <c r="S104" s="560"/>
      <c r="T104" s="560"/>
      <c r="U104" s="560"/>
      <c r="V104" s="560"/>
      <c r="W104" s="560"/>
      <c r="X104" s="560"/>
      <c r="Y104" s="560"/>
      <c r="Z104" s="560"/>
      <c r="AA104" s="559"/>
      <c r="AB104" s="560"/>
      <c r="AC104" s="560"/>
      <c r="AD104" s="560"/>
      <c r="AE104" s="560"/>
      <c r="AF104" s="560"/>
      <c r="AG104" s="560"/>
      <c r="AH104" s="560"/>
      <c r="AI104" s="560"/>
      <c r="AJ104" s="560"/>
      <c r="AK104" s="560"/>
      <c r="AL104" s="560"/>
      <c r="AM104" s="560"/>
      <c r="AN104" s="560"/>
      <c r="AO104" s="560"/>
      <c r="AP104" s="560"/>
      <c r="AQ104" s="560"/>
      <c r="AR104" s="560"/>
      <c r="AS104" s="560"/>
      <c r="AT104" s="560"/>
      <c r="AU104" s="560"/>
      <c r="AV104" s="560"/>
      <c r="AW104" s="560"/>
      <c r="AX104" s="560"/>
      <c r="AY104" s="561"/>
      <c r="AZ104" s="561"/>
      <c r="BA104" s="561"/>
      <c r="BB104" s="561"/>
      <c r="BC104" s="561"/>
      <c r="BD104" s="561"/>
      <c r="BE104" s="561"/>
      <c r="BF104" s="561"/>
      <c r="BG104" s="561"/>
    </row>
    <row r="105" spans="1:59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560"/>
      <c r="O105" s="560"/>
      <c r="P105" s="560"/>
      <c r="Q105" s="560"/>
      <c r="R105" s="560"/>
      <c r="S105" s="560"/>
      <c r="T105" s="560"/>
      <c r="U105" s="560"/>
      <c r="V105" s="560"/>
      <c r="W105" s="560"/>
      <c r="X105" s="560"/>
      <c r="Y105" s="560"/>
      <c r="Z105" s="560"/>
      <c r="AA105" s="559"/>
      <c r="AB105" s="560"/>
      <c r="AC105" s="560"/>
      <c r="AD105" s="560"/>
      <c r="AE105" s="560"/>
      <c r="AF105" s="560"/>
      <c r="AG105" s="560"/>
      <c r="AH105" s="560"/>
      <c r="AI105" s="560"/>
      <c r="AJ105" s="560"/>
      <c r="AK105" s="560"/>
      <c r="AL105" s="560"/>
      <c r="AM105" s="560"/>
      <c r="AN105" s="560"/>
      <c r="AO105" s="560"/>
      <c r="AP105" s="560"/>
      <c r="AQ105" s="560"/>
      <c r="AR105" s="560"/>
      <c r="AS105" s="560"/>
      <c r="AT105" s="560"/>
      <c r="AU105" s="560"/>
      <c r="AV105" s="560"/>
      <c r="AW105" s="560"/>
      <c r="AX105" s="560"/>
      <c r="AY105" s="561"/>
      <c r="AZ105" s="561"/>
      <c r="BA105" s="561"/>
      <c r="BB105" s="561"/>
      <c r="BC105" s="561"/>
      <c r="BD105" s="561"/>
      <c r="BE105" s="561"/>
      <c r="BF105" s="561"/>
      <c r="BG105" s="561"/>
    </row>
    <row r="106" spans="1:59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560"/>
      <c r="O106" s="560"/>
      <c r="P106" s="560"/>
      <c r="Q106" s="560"/>
      <c r="R106" s="560"/>
      <c r="S106" s="560"/>
      <c r="T106" s="560"/>
      <c r="U106" s="560"/>
      <c r="V106" s="560"/>
      <c r="W106" s="560"/>
      <c r="X106" s="560"/>
      <c r="Y106" s="560"/>
      <c r="Z106" s="560"/>
      <c r="AA106" s="559"/>
      <c r="AB106" s="560"/>
      <c r="AC106" s="560"/>
      <c r="AD106" s="560"/>
      <c r="AE106" s="560"/>
      <c r="AF106" s="560"/>
      <c r="AG106" s="560"/>
      <c r="AH106" s="560"/>
      <c r="AI106" s="560"/>
      <c r="AJ106" s="560"/>
      <c r="AK106" s="560"/>
      <c r="AL106" s="560"/>
      <c r="AM106" s="560"/>
      <c r="AN106" s="560"/>
      <c r="AO106" s="560"/>
      <c r="AP106" s="560"/>
      <c r="AQ106" s="560"/>
      <c r="AR106" s="560"/>
      <c r="AS106" s="560"/>
      <c r="AT106" s="560"/>
      <c r="AU106" s="560"/>
      <c r="AV106" s="560"/>
      <c r="AW106" s="560"/>
      <c r="AX106" s="560"/>
      <c r="AY106" s="561"/>
      <c r="AZ106" s="561"/>
      <c r="BA106" s="561"/>
      <c r="BB106" s="561"/>
      <c r="BC106" s="561"/>
      <c r="BD106" s="561"/>
      <c r="BE106" s="561"/>
      <c r="BF106" s="561"/>
      <c r="BG106" s="561"/>
    </row>
    <row r="107" spans="1:59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560"/>
      <c r="O107" s="560"/>
      <c r="P107" s="560"/>
      <c r="Q107" s="560"/>
      <c r="R107" s="560"/>
      <c r="S107" s="560"/>
      <c r="T107" s="560"/>
      <c r="U107" s="560"/>
      <c r="V107" s="560"/>
      <c r="W107" s="560"/>
      <c r="X107" s="560"/>
      <c r="Y107" s="560"/>
      <c r="Z107" s="560"/>
      <c r="AA107" s="559"/>
      <c r="AB107" s="560"/>
      <c r="AC107" s="560"/>
      <c r="AD107" s="560"/>
      <c r="AE107" s="560"/>
      <c r="AF107" s="560"/>
      <c r="AG107" s="560"/>
      <c r="AH107" s="560"/>
      <c r="AI107" s="560"/>
      <c r="AJ107" s="560"/>
      <c r="AK107" s="560"/>
      <c r="AL107" s="560"/>
      <c r="AM107" s="560"/>
      <c r="AN107" s="560"/>
      <c r="AO107" s="560"/>
      <c r="AP107" s="560"/>
      <c r="AQ107" s="560"/>
      <c r="AR107" s="560"/>
      <c r="AS107" s="560"/>
      <c r="AT107" s="560"/>
      <c r="AU107" s="560"/>
      <c r="AV107" s="560"/>
      <c r="AW107" s="560"/>
      <c r="AX107" s="560"/>
      <c r="AY107" s="561"/>
      <c r="AZ107" s="561"/>
      <c r="BA107" s="561"/>
      <c r="BB107" s="561"/>
      <c r="BC107" s="561"/>
      <c r="BD107" s="561"/>
      <c r="BE107" s="561"/>
      <c r="BF107" s="561"/>
      <c r="BG107" s="561"/>
    </row>
    <row r="108" spans="1:59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560"/>
      <c r="O108" s="560"/>
      <c r="P108" s="560"/>
      <c r="Q108" s="560"/>
      <c r="R108" s="560"/>
      <c r="S108" s="560"/>
      <c r="T108" s="560"/>
      <c r="U108" s="560"/>
      <c r="V108" s="560"/>
      <c r="W108" s="560"/>
      <c r="X108" s="560"/>
      <c r="Y108" s="560"/>
      <c r="Z108" s="560"/>
      <c r="AA108" s="559"/>
      <c r="AB108" s="560"/>
      <c r="AC108" s="560"/>
      <c r="AD108" s="560"/>
      <c r="AE108" s="560"/>
      <c r="AF108" s="560"/>
      <c r="AG108" s="560"/>
      <c r="AH108" s="560"/>
      <c r="AI108" s="560"/>
      <c r="AJ108" s="560"/>
      <c r="AK108" s="560"/>
      <c r="AL108" s="560"/>
      <c r="AM108" s="560"/>
      <c r="AN108" s="560"/>
      <c r="AO108" s="560"/>
      <c r="AP108" s="560"/>
      <c r="AQ108" s="560"/>
      <c r="AR108" s="560"/>
      <c r="AS108" s="560"/>
      <c r="AT108" s="560"/>
      <c r="AU108" s="560"/>
      <c r="AV108" s="560"/>
      <c r="AW108" s="560"/>
      <c r="AX108" s="560"/>
      <c r="AY108" s="561"/>
      <c r="AZ108" s="561"/>
      <c r="BA108" s="561"/>
      <c r="BB108" s="561"/>
      <c r="BC108" s="561"/>
      <c r="BD108" s="561"/>
      <c r="BE108" s="561"/>
      <c r="BF108" s="561"/>
      <c r="BG108" s="561"/>
    </row>
    <row r="109" spans="1:59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560"/>
      <c r="O109" s="560"/>
      <c r="P109" s="560"/>
      <c r="Q109" s="560"/>
      <c r="R109" s="560"/>
      <c r="S109" s="560"/>
      <c r="T109" s="560"/>
      <c r="U109" s="560"/>
      <c r="V109" s="560"/>
      <c r="W109" s="560"/>
      <c r="X109" s="560"/>
      <c r="Y109" s="560"/>
      <c r="Z109" s="560"/>
      <c r="AA109" s="559"/>
      <c r="AB109" s="560"/>
      <c r="AC109" s="560"/>
      <c r="AD109" s="560"/>
      <c r="AE109" s="560"/>
      <c r="AF109" s="560"/>
      <c r="AG109" s="560"/>
      <c r="AH109" s="560"/>
      <c r="AI109" s="560"/>
      <c r="AJ109" s="560"/>
      <c r="AK109" s="560"/>
      <c r="AL109" s="560"/>
      <c r="AM109" s="560"/>
      <c r="AN109" s="560"/>
      <c r="AO109" s="560"/>
      <c r="AP109" s="560"/>
      <c r="AQ109" s="560"/>
      <c r="AR109" s="560"/>
      <c r="AS109" s="560"/>
      <c r="AT109" s="560"/>
      <c r="AU109" s="560"/>
      <c r="AV109" s="560"/>
      <c r="AW109" s="560"/>
      <c r="AX109" s="560"/>
      <c r="AY109" s="561"/>
      <c r="AZ109" s="561"/>
      <c r="BA109" s="561"/>
      <c r="BB109" s="561"/>
      <c r="BC109" s="561"/>
      <c r="BD109" s="561"/>
      <c r="BE109" s="561"/>
      <c r="BF109" s="561"/>
      <c r="BG109" s="561"/>
    </row>
    <row r="110" spans="1:59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560"/>
      <c r="O110" s="560"/>
      <c r="P110" s="560"/>
      <c r="Q110" s="560"/>
      <c r="R110" s="560"/>
      <c r="S110" s="560"/>
      <c r="T110" s="560"/>
      <c r="U110" s="560"/>
      <c r="V110" s="560"/>
      <c r="W110" s="560"/>
      <c r="X110" s="560"/>
      <c r="Y110" s="560"/>
      <c r="Z110" s="560"/>
      <c r="AA110" s="559"/>
      <c r="AB110" s="560"/>
      <c r="AC110" s="560"/>
      <c r="AD110" s="560"/>
      <c r="AE110" s="560"/>
      <c r="AF110" s="560"/>
      <c r="AG110" s="560"/>
      <c r="AH110" s="560"/>
      <c r="AI110" s="560"/>
      <c r="AJ110" s="560"/>
      <c r="AK110" s="560"/>
      <c r="AL110" s="560"/>
      <c r="AM110" s="560"/>
      <c r="AN110" s="560"/>
      <c r="AO110" s="560"/>
      <c r="AP110" s="560"/>
      <c r="AQ110" s="560"/>
      <c r="AR110" s="560"/>
      <c r="AS110" s="560"/>
      <c r="AT110" s="560"/>
      <c r="AU110" s="560"/>
      <c r="AV110" s="560"/>
      <c r="AW110" s="560"/>
      <c r="AX110" s="560"/>
      <c r="AY110" s="561"/>
      <c r="AZ110" s="561"/>
      <c r="BA110" s="561"/>
      <c r="BB110" s="561"/>
      <c r="BC110" s="561"/>
      <c r="BD110" s="561"/>
      <c r="BE110" s="561"/>
      <c r="BF110" s="561"/>
      <c r="BG110" s="561"/>
    </row>
    <row r="111" spans="1:59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560"/>
      <c r="O111" s="560"/>
      <c r="P111" s="560"/>
      <c r="Q111" s="560"/>
      <c r="R111" s="560"/>
      <c r="S111" s="560"/>
      <c r="T111" s="560"/>
      <c r="U111" s="560"/>
      <c r="V111" s="560"/>
      <c r="W111" s="560"/>
      <c r="X111" s="560"/>
      <c r="Y111" s="560"/>
      <c r="Z111" s="560"/>
      <c r="AA111" s="559"/>
      <c r="AB111" s="560"/>
      <c r="AC111" s="560"/>
      <c r="AD111" s="560"/>
      <c r="AE111" s="560"/>
      <c r="AF111" s="560"/>
      <c r="AG111" s="560"/>
      <c r="AH111" s="560"/>
      <c r="AI111" s="560"/>
      <c r="AJ111" s="560"/>
      <c r="AK111" s="560"/>
      <c r="AL111" s="560"/>
      <c r="AM111" s="560"/>
      <c r="AN111" s="560"/>
      <c r="AO111" s="560"/>
      <c r="AP111" s="560"/>
      <c r="AQ111" s="560"/>
      <c r="AR111" s="560"/>
      <c r="AS111" s="560"/>
      <c r="AT111" s="560"/>
      <c r="AU111" s="560"/>
      <c r="AV111" s="560"/>
      <c r="AW111" s="560"/>
      <c r="AX111" s="560"/>
      <c r="AY111" s="561"/>
      <c r="AZ111" s="561"/>
      <c r="BA111" s="561"/>
      <c r="BB111" s="561"/>
      <c r="BC111" s="561"/>
      <c r="BD111" s="561"/>
      <c r="BE111" s="561"/>
      <c r="BF111" s="561"/>
      <c r="BG111" s="561"/>
    </row>
    <row r="112" spans="1:59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560"/>
      <c r="O112" s="560"/>
      <c r="P112" s="560"/>
      <c r="Q112" s="560"/>
      <c r="R112" s="560"/>
      <c r="S112" s="560"/>
      <c r="T112" s="560"/>
      <c r="U112" s="560"/>
      <c r="V112" s="560"/>
      <c r="W112" s="560"/>
      <c r="X112" s="560"/>
      <c r="Y112" s="560"/>
      <c r="Z112" s="560"/>
      <c r="AA112" s="559"/>
      <c r="AB112" s="560"/>
      <c r="AC112" s="560"/>
      <c r="AD112" s="560"/>
      <c r="AE112" s="560"/>
      <c r="AF112" s="560"/>
      <c r="AG112" s="560"/>
      <c r="AH112" s="560"/>
      <c r="AI112" s="560"/>
      <c r="AJ112" s="560"/>
      <c r="AK112" s="560"/>
      <c r="AL112" s="560"/>
      <c r="AM112" s="560"/>
      <c r="AN112" s="560"/>
      <c r="AO112" s="560"/>
      <c r="AP112" s="560"/>
      <c r="AQ112" s="560"/>
      <c r="AR112" s="560"/>
      <c r="AS112" s="560"/>
      <c r="AT112" s="560"/>
      <c r="AU112" s="560"/>
      <c r="AV112" s="560"/>
      <c r="AW112" s="560"/>
      <c r="AX112" s="560"/>
      <c r="AY112" s="561"/>
      <c r="AZ112" s="561"/>
      <c r="BA112" s="561"/>
      <c r="BB112" s="561"/>
      <c r="BC112" s="561"/>
      <c r="BD112" s="561"/>
      <c r="BE112" s="561"/>
      <c r="BF112" s="561"/>
      <c r="BG112" s="561"/>
    </row>
    <row r="113" spans="1:59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560"/>
      <c r="O113" s="560"/>
      <c r="P113" s="560"/>
      <c r="Q113" s="560"/>
      <c r="R113" s="560"/>
      <c r="S113" s="560"/>
      <c r="T113" s="560"/>
      <c r="U113" s="560"/>
      <c r="V113" s="560"/>
      <c r="W113" s="560"/>
      <c r="X113" s="560"/>
      <c r="Y113" s="560"/>
      <c r="Z113" s="560"/>
      <c r="AA113" s="559"/>
      <c r="AB113" s="560"/>
      <c r="AC113" s="560"/>
      <c r="AD113" s="560"/>
      <c r="AE113" s="560"/>
      <c r="AF113" s="560"/>
      <c r="AG113" s="560"/>
      <c r="AH113" s="560"/>
      <c r="AI113" s="560"/>
      <c r="AJ113" s="560"/>
      <c r="AK113" s="560"/>
      <c r="AL113" s="560"/>
      <c r="AM113" s="560"/>
      <c r="AN113" s="560"/>
      <c r="AO113" s="560"/>
      <c r="AP113" s="560"/>
      <c r="AQ113" s="560"/>
      <c r="AR113" s="560"/>
      <c r="AS113" s="560"/>
      <c r="AT113" s="560"/>
      <c r="AU113" s="560"/>
      <c r="AV113" s="560"/>
      <c r="AW113" s="560"/>
      <c r="AX113" s="560"/>
      <c r="AY113" s="561"/>
      <c r="AZ113" s="561"/>
      <c r="BA113" s="561"/>
      <c r="BB113" s="561"/>
      <c r="BC113" s="561"/>
      <c r="BD113" s="561"/>
      <c r="BE113" s="561"/>
      <c r="BF113" s="561"/>
      <c r="BG113" s="561"/>
    </row>
    <row r="114" spans="1:59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560"/>
      <c r="O114" s="560"/>
      <c r="P114" s="560"/>
      <c r="Q114" s="560"/>
      <c r="R114" s="560"/>
      <c r="S114" s="560"/>
      <c r="T114" s="560"/>
      <c r="U114" s="560"/>
      <c r="V114" s="560"/>
      <c r="W114" s="560"/>
      <c r="X114" s="560"/>
      <c r="Y114" s="560"/>
      <c r="Z114" s="560"/>
      <c r="AA114" s="559"/>
      <c r="AB114" s="560"/>
      <c r="AC114" s="560"/>
      <c r="AD114" s="560"/>
      <c r="AE114" s="560"/>
      <c r="AF114" s="560"/>
      <c r="AG114" s="560"/>
      <c r="AH114" s="560"/>
      <c r="AI114" s="560"/>
      <c r="AJ114" s="560"/>
      <c r="AK114" s="560"/>
      <c r="AL114" s="560"/>
      <c r="AM114" s="560"/>
      <c r="AN114" s="560"/>
      <c r="AO114" s="560"/>
      <c r="AP114" s="560"/>
      <c r="AQ114" s="560"/>
      <c r="AR114" s="560"/>
      <c r="AS114" s="560"/>
      <c r="AT114" s="560"/>
      <c r="AU114" s="560"/>
      <c r="AV114" s="560"/>
      <c r="AW114" s="560"/>
      <c r="AX114" s="560"/>
      <c r="AY114" s="561"/>
      <c r="AZ114" s="561"/>
      <c r="BA114" s="561"/>
      <c r="BB114" s="561"/>
      <c r="BC114" s="561"/>
      <c r="BD114" s="561"/>
      <c r="BE114" s="561"/>
      <c r="BF114" s="561"/>
      <c r="BG114" s="561"/>
    </row>
    <row r="115" spans="1:59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560"/>
      <c r="O115" s="560"/>
      <c r="P115" s="560"/>
      <c r="Q115" s="560"/>
      <c r="R115" s="560"/>
      <c r="S115" s="560"/>
      <c r="T115" s="560"/>
      <c r="U115" s="560"/>
      <c r="V115" s="560"/>
      <c r="W115" s="560"/>
      <c r="X115" s="560"/>
      <c r="Y115" s="560"/>
      <c r="Z115" s="560"/>
      <c r="AA115" s="559"/>
      <c r="AB115" s="560"/>
      <c r="AC115" s="560"/>
      <c r="AD115" s="560"/>
      <c r="AE115" s="560"/>
      <c r="AF115" s="560"/>
      <c r="AG115" s="560"/>
      <c r="AH115" s="560"/>
      <c r="AI115" s="560"/>
      <c r="AJ115" s="560"/>
      <c r="AK115" s="560"/>
      <c r="AL115" s="560"/>
      <c r="AM115" s="560"/>
      <c r="AN115" s="560"/>
      <c r="AO115" s="560"/>
      <c r="AP115" s="560"/>
      <c r="AQ115" s="560"/>
      <c r="AR115" s="560"/>
      <c r="AS115" s="560"/>
      <c r="AT115" s="560"/>
      <c r="AU115" s="560"/>
      <c r="AV115" s="560"/>
      <c r="AW115" s="560"/>
      <c r="AX115" s="560"/>
      <c r="AY115" s="561"/>
      <c r="AZ115" s="561"/>
      <c r="BA115" s="561"/>
      <c r="BB115" s="561"/>
      <c r="BC115" s="561"/>
      <c r="BD115" s="561"/>
      <c r="BE115" s="561"/>
      <c r="BF115" s="561"/>
      <c r="BG115" s="561"/>
    </row>
    <row r="116" spans="1:59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560"/>
      <c r="O116" s="560"/>
      <c r="P116" s="560"/>
      <c r="Q116" s="560"/>
      <c r="R116" s="560"/>
      <c r="S116" s="560"/>
      <c r="T116" s="560"/>
      <c r="U116" s="560"/>
      <c r="V116" s="560"/>
      <c r="W116" s="560"/>
      <c r="X116" s="560"/>
      <c r="Y116" s="560"/>
      <c r="Z116" s="560"/>
      <c r="AA116" s="559"/>
      <c r="AB116" s="560"/>
      <c r="AC116" s="560"/>
      <c r="AD116" s="560"/>
      <c r="AE116" s="560"/>
      <c r="AF116" s="560"/>
      <c r="AG116" s="560"/>
      <c r="AH116" s="560"/>
      <c r="AI116" s="560"/>
      <c r="AJ116" s="560"/>
      <c r="AK116" s="560"/>
      <c r="AL116" s="560"/>
      <c r="AM116" s="560"/>
      <c r="AN116" s="560"/>
      <c r="AO116" s="560"/>
      <c r="AP116" s="560"/>
      <c r="AQ116" s="560"/>
      <c r="AR116" s="560"/>
      <c r="AS116" s="560"/>
      <c r="AT116" s="560"/>
      <c r="AU116" s="560"/>
      <c r="AV116" s="560"/>
      <c r="AW116" s="560"/>
      <c r="AX116" s="560"/>
      <c r="AY116" s="561"/>
      <c r="AZ116" s="561"/>
      <c r="BA116" s="561"/>
      <c r="BB116" s="561"/>
      <c r="BC116" s="561"/>
      <c r="BD116" s="561"/>
      <c r="BE116" s="561"/>
      <c r="BF116" s="561"/>
      <c r="BG116" s="561"/>
    </row>
    <row r="117" spans="1:59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560"/>
      <c r="O117" s="560"/>
      <c r="P117" s="560"/>
      <c r="Q117" s="560"/>
      <c r="R117" s="560"/>
      <c r="S117" s="560"/>
      <c r="T117" s="560"/>
      <c r="U117" s="560"/>
      <c r="V117" s="560"/>
      <c r="W117" s="560"/>
      <c r="X117" s="560"/>
      <c r="Y117" s="560"/>
      <c r="Z117" s="560"/>
      <c r="AA117" s="559"/>
      <c r="AB117" s="560"/>
      <c r="AC117" s="560"/>
      <c r="AD117" s="560"/>
      <c r="AE117" s="560"/>
      <c r="AF117" s="560"/>
      <c r="AG117" s="560"/>
      <c r="AH117" s="560"/>
      <c r="AI117" s="560"/>
      <c r="AJ117" s="560"/>
      <c r="AK117" s="560"/>
      <c r="AL117" s="560"/>
      <c r="AM117" s="560"/>
      <c r="AN117" s="560"/>
      <c r="AO117" s="560"/>
      <c r="AP117" s="560"/>
      <c r="AQ117" s="560"/>
      <c r="AR117" s="560"/>
      <c r="AS117" s="560"/>
      <c r="AT117" s="560"/>
      <c r="AU117" s="560"/>
      <c r="AV117" s="560"/>
      <c r="AW117" s="560"/>
      <c r="AX117" s="560"/>
      <c r="AY117" s="561"/>
      <c r="AZ117" s="561"/>
      <c r="BA117" s="561"/>
      <c r="BB117" s="561"/>
      <c r="BC117" s="561"/>
      <c r="BD117" s="561"/>
      <c r="BE117" s="561"/>
      <c r="BF117" s="561"/>
      <c r="BG117" s="561"/>
    </row>
    <row r="118" spans="1:59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560"/>
      <c r="O118" s="560"/>
      <c r="P118" s="560"/>
      <c r="Q118" s="560"/>
      <c r="R118" s="560"/>
      <c r="S118" s="560"/>
      <c r="T118" s="560"/>
      <c r="U118" s="560"/>
      <c r="V118" s="560"/>
      <c r="W118" s="560"/>
      <c r="X118" s="560"/>
      <c r="Y118" s="560"/>
      <c r="Z118" s="560"/>
      <c r="AA118" s="559"/>
      <c r="AB118" s="560"/>
      <c r="AC118" s="560"/>
      <c r="AD118" s="560"/>
      <c r="AE118" s="560"/>
      <c r="AF118" s="560"/>
      <c r="AG118" s="560"/>
      <c r="AH118" s="560"/>
      <c r="AI118" s="560"/>
      <c r="AJ118" s="560"/>
      <c r="AK118" s="560"/>
      <c r="AL118" s="560"/>
      <c r="AM118" s="560"/>
      <c r="AN118" s="560"/>
      <c r="AO118" s="560"/>
      <c r="AP118" s="560"/>
      <c r="AQ118" s="560"/>
      <c r="AR118" s="560"/>
      <c r="AS118" s="560"/>
      <c r="AT118" s="560"/>
      <c r="AU118" s="560"/>
      <c r="AV118" s="560"/>
      <c r="AW118" s="560"/>
      <c r="AX118" s="560"/>
      <c r="AY118" s="561"/>
      <c r="AZ118" s="561"/>
      <c r="BA118" s="561"/>
      <c r="BB118" s="561"/>
      <c r="BC118" s="561"/>
      <c r="BD118" s="561"/>
      <c r="BE118" s="561"/>
      <c r="BF118" s="561"/>
      <c r="BG118" s="561"/>
    </row>
    <row r="119" spans="1:59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560"/>
      <c r="O119" s="560"/>
      <c r="P119" s="560"/>
      <c r="Q119" s="560"/>
      <c r="R119" s="560"/>
      <c r="S119" s="560"/>
      <c r="T119" s="560"/>
      <c r="U119" s="560"/>
      <c r="V119" s="560"/>
      <c r="W119" s="560"/>
      <c r="X119" s="560"/>
      <c r="Y119" s="560"/>
      <c r="Z119" s="560"/>
      <c r="AA119" s="559"/>
      <c r="AB119" s="560"/>
      <c r="AC119" s="560"/>
      <c r="AD119" s="560"/>
      <c r="AE119" s="560"/>
      <c r="AF119" s="560"/>
      <c r="AG119" s="560"/>
      <c r="AH119" s="560"/>
      <c r="AI119" s="560"/>
      <c r="AJ119" s="560"/>
      <c r="AK119" s="560"/>
      <c r="AL119" s="560"/>
      <c r="AM119" s="560"/>
      <c r="AN119" s="560"/>
      <c r="AO119" s="560"/>
      <c r="AP119" s="560"/>
      <c r="AQ119" s="560"/>
      <c r="AR119" s="560"/>
      <c r="AS119" s="560"/>
      <c r="AT119" s="560"/>
      <c r="AU119" s="560"/>
      <c r="AV119" s="560"/>
      <c r="AW119" s="560"/>
      <c r="AX119" s="560"/>
      <c r="AY119" s="561"/>
      <c r="AZ119" s="561"/>
      <c r="BA119" s="561"/>
      <c r="BB119" s="561"/>
      <c r="BC119" s="561"/>
      <c r="BD119" s="561"/>
      <c r="BE119" s="561"/>
      <c r="BF119" s="561"/>
      <c r="BG119" s="561"/>
    </row>
    <row r="120" spans="1:59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560"/>
      <c r="O120" s="560"/>
      <c r="P120" s="560"/>
      <c r="Q120" s="560"/>
      <c r="R120" s="560"/>
      <c r="S120" s="560"/>
      <c r="T120" s="560"/>
      <c r="U120" s="560"/>
      <c r="V120" s="560"/>
      <c r="W120" s="560"/>
      <c r="X120" s="560"/>
      <c r="Y120" s="560"/>
      <c r="Z120" s="560"/>
      <c r="AA120" s="559"/>
      <c r="AB120" s="560"/>
      <c r="AC120" s="560"/>
      <c r="AD120" s="560"/>
      <c r="AE120" s="560"/>
      <c r="AF120" s="560"/>
      <c r="AG120" s="560"/>
      <c r="AH120" s="560"/>
      <c r="AI120" s="560"/>
      <c r="AJ120" s="560"/>
      <c r="AK120" s="560"/>
      <c r="AL120" s="560"/>
      <c r="AM120" s="560"/>
      <c r="AN120" s="560"/>
      <c r="AO120" s="560"/>
      <c r="AP120" s="560"/>
      <c r="AQ120" s="560"/>
      <c r="AR120" s="560"/>
      <c r="AS120" s="560"/>
      <c r="AT120" s="560"/>
      <c r="AU120" s="560"/>
      <c r="AV120" s="560"/>
      <c r="AW120" s="560"/>
      <c r="AX120" s="560"/>
      <c r="AY120" s="561"/>
      <c r="AZ120" s="561"/>
      <c r="BA120" s="561"/>
      <c r="BB120" s="561"/>
      <c r="BC120" s="561"/>
      <c r="BD120" s="561"/>
      <c r="BE120" s="561"/>
      <c r="BF120" s="561"/>
      <c r="BG120" s="561"/>
    </row>
    <row r="121" spans="1:59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560"/>
      <c r="O121" s="560"/>
      <c r="P121" s="560"/>
      <c r="Q121" s="560"/>
      <c r="R121" s="560"/>
      <c r="S121" s="560"/>
      <c r="T121" s="560"/>
      <c r="U121" s="560"/>
      <c r="V121" s="560"/>
      <c r="W121" s="560"/>
      <c r="X121" s="560"/>
      <c r="Y121" s="560"/>
      <c r="Z121" s="560"/>
      <c r="AA121" s="559"/>
      <c r="AB121" s="560"/>
      <c r="AC121" s="560"/>
      <c r="AD121" s="560"/>
      <c r="AE121" s="560"/>
      <c r="AF121" s="560"/>
      <c r="AG121" s="560"/>
      <c r="AH121" s="560"/>
      <c r="AI121" s="560"/>
      <c r="AJ121" s="560"/>
      <c r="AK121" s="560"/>
      <c r="AL121" s="560"/>
      <c r="AM121" s="560"/>
      <c r="AN121" s="560"/>
      <c r="AO121" s="560"/>
      <c r="AP121" s="560"/>
      <c r="AQ121" s="560"/>
      <c r="AR121" s="560"/>
      <c r="AS121" s="560"/>
      <c r="AT121" s="560"/>
      <c r="AU121" s="560"/>
      <c r="AV121" s="560"/>
      <c r="AW121" s="560"/>
      <c r="AX121" s="560"/>
      <c r="AY121" s="561"/>
      <c r="AZ121" s="561"/>
      <c r="BA121" s="561"/>
      <c r="BB121" s="561"/>
      <c r="BC121" s="561"/>
      <c r="BD121" s="561"/>
      <c r="BE121" s="561"/>
      <c r="BF121" s="561"/>
      <c r="BG121" s="561"/>
    </row>
    <row r="122" spans="1:59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560"/>
      <c r="O122" s="560"/>
      <c r="P122" s="560"/>
      <c r="Q122" s="560"/>
      <c r="R122" s="560"/>
      <c r="S122" s="560"/>
      <c r="T122" s="560"/>
      <c r="U122" s="560"/>
      <c r="V122" s="560"/>
      <c r="W122" s="560"/>
      <c r="X122" s="560"/>
      <c r="Y122" s="560"/>
      <c r="Z122" s="560"/>
      <c r="AA122" s="559"/>
      <c r="AB122" s="560"/>
      <c r="AC122" s="560"/>
      <c r="AD122" s="560"/>
      <c r="AE122" s="560"/>
      <c r="AF122" s="560"/>
      <c r="AG122" s="560"/>
      <c r="AH122" s="560"/>
      <c r="AI122" s="560"/>
      <c r="AJ122" s="560"/>
      <c r="AK122" s="560"/>
      <c r="AL122" s="560"/>
      <c r="AM122" s="560"/>
      <c r="AN122" s="560"/>
      <c r="AO122" s="560"/>
      <c r="AP122" s="560"/>
      <c r="AQ122" s="560"/>
      <c r="AR122" s="560"/>
      <c r="AS122" s="560"/>
      <c r="AT122" s="560"/>
      <c r="AU122" s="560"/>
      <c r="AV122" s="560"/>
      <c r="AW122" s="560"/>
      <c r="AX122" s="560"/>
      <c r="AY122" s="561"/>
      <c r="AZ122" s="561"/>
      <c r="BA122" s="561"/>
      <c r="BB122" s="561"/>
      <c r="BC122" s="561"/>
      <c r="BD122" s="561"/>
      <c r="BE122" s="561"/>
      <c r="BF122" s="561"/>
      <c r="BG122" s="561"/>
    </row>
    <row r="123" spans="1:59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560"/>
      <c r="O123" s="560"/>
      <c r="P123" s="560"/>
      <c r="Q123" s="560"/>
      <c r="R123" s="560"/>
      <c r="S123" s="560"/>
      <c r="T123" s="560"/>
      <c r="U123" s="560"/>
      <c r="V123" s="560"/>
      <c r="W123" s="560"/>
      <c r="X123" s="560"/>
      <c r="Y123" s="560"/>
      <c r="Z123" s="560"/>
      <c r="AA123" s="559"/>
      <c r="AB123" s="560"/>
      <c r="AC123" s="560"/>
      <c r="AD123" s="560"/>
      <c r="AE123" s="560"/>
      <c r="AF123" s="560"/>
      <c r="AG123" s="560"/>
      <c r="AH123" s="560"/>
      <c r="AI123" s="560"/>
      <c r="AJ123" s="560"/>
      <c r="AK123" s="560"/>
      <c r="AL123" s="560"/>
      <c r="AM123" s="560"/>
      <c r="AN123" s="560"/>
      <c r="AO123" s="560"/>
      <c r="AP123" s="560"/>
      <c r="AQ123" s="560"/>
      <c r="AR123" s="560"/>
      <c r="AS123" s="560"/>
      <c r="AT123" s="560"/>
      <c r="AU123" s="560"/>
      <c r="AV123" s="560"/>
      <c r="AW123" s="560"/>
      <c r="AX123" s="560"/>
      <c r="AY123" s="561"/>
      <c r="AZ123" s="561"/>
      <c r="BA123" s="561"/>
      <c r="BB123" s="561"/>
      <c r="BC123" s="561"/>
      <c r="BD123" s="561"/>
      <c r="BE123" s="561"/>
      <c r="BF123" s="561"/>
      <c r="BG123" s="561"/>
    </row>
    <row r="124" spans="1:59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560"/>
      <c r="O124" s="560"/>
      <c r="P124" s="560"/>
      <c r="Q124" s="560"/>
      <c r="R124" s="560"/>
      <c r="S124" s="560"/>
      <c r="T124" s="560"/>
      <c r="U124" s="560"/>
      <c r="V124" s="560"/>
      <c r="W124" s="560"/>
      <c r="X124" s="560"/>
      <c r="Y124" s="560"/>
      <c r="Z124" s="560"/>
      <c r="AA124" s="559"/>
      <c r="AB124" s="560"/>
      <c r="AC124" s="560"/>
      <c r="AD124" s="560"/>
      <c r="AE124" s="560"/>
      <c r="AF124" s="560"/>
      <c r="AG124" s="560"/>
      <c r="AH124" s="560"/>
      <c r="AI124" s="560"/>
      <c r="AJ124" s="560"/>
      <c r="AK124" s="560"/>
      <c r="AL124" s="560"/>
      <c r="AM124" s="560"/>
      <c r="AN124" s="560"/>
      <c r="AO124" s="560"/>
      <c r="AP124" s="560"/>
      <c r="AQ124" s="560"/>
      <c r="AR124" s="560"/>
      <c r="AS124" s="560"/>
      <c r="AT124" s="560"/>
      <c r="AU124" s="560"/>
      <c r="AV124" s="560"/>
      <c r="AW124" s="560"/>
      <c r="AX124" s="560"/>
      <c r="AY124" s="561"/>
      <c r="AZ124" s="561"/>
      <c r="BA124" s="561"/>
      <c r="BB124" s="561"/>
      <c r="BC124" s="561"/>
      <c r="BD124" s="561"/>
      <c r="BE124" s="561"/>
      <c r="BF124" s="561"/>
      <c r="BG124" s="561"/>
    </row>
    <row r="125" spans="1:59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560"/>
      <c r="O125" s="560"/>
      <c r="P125" s="560"/>
      <c r="Q125" s="560"/>
      <c r="R125" s="560"/>
      <c r="S125" s="560"/>
      <c r="T125" s="560"/>
      <c r="U125" s="560"/>
      <c r="V125" s="560"/>
      <c r="W125" s="560"/>
      <c r="X125" s="560"/>
      <c r="Y125" s="560"/>
      <c r="Z125" s="560"/>
      <c r="AA125" s="559"/>
      <c r="AB125" s="560"/>
      <c r="AC125" s="560"/>
      <c r="AD125" s="560"/>
      <c r="AE125" s="560"/>
      <c r="AF125" s="560"/>
      <c r="AG125" s="560"/>
      <c r="AH125" s="560"/>
      <c r="AI125" s="560"/>
      <c r="AJ125" s="560"/>
      <c r="AK125" s="560"/>
      <c r="AL125" s="560"/>
      <c r="AM125" s="560"/>
      <c r="AN125" s="560"/>
      <c r="AO125" s="560"/>
      <c r="AP125" s="560"/>
      <c r="AQ125" s="560"/>
      <c r="AR125" s="560"/>
      <c r="AS125" s="560"/>
      <c r="AT125" s="560"/>
      <c r="AU125" s="560"/>
      <c r="AV125" s="560"/>
      <c r="AW125" s="560"/>
      <c r="AX125" s="560"/>
      <c r="AY125" s="561"/>
      <c r="AZ125" s="561"/>
      <c r="BA125" s="561"/>
      <c r="BB125" s="561"/>
      <c r="BC125" s="561"/>
      <c r="BD125" s="561"/>
      <c r="BE125" s="561"/>
      <c r="BF125" s="561"/>
      <c r="BG125" s="561"/>
    </row>
    <row r="126" spans="1:59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560"/>
      <c r="O126" s="560"/>
      <c r="P126" s="560"/>
      <c r="Q126" s="560"/>
      <c r="R126" s="560"/>
      <c r="S126" s="560"/>
      <c r="T126" s="560"/>
      <c r="U126" s="560"/>
      <c r="V126" s="560"/>
      <c r="W126" s="560"/>
      <c r="X126" s="560"/>
      <c r="Y126" s="560"/>
      <c r="Z126" s="560"/>
      <c r="AA126" s="559"/>
      <c r="AB126" s="560"/>
      <c r="AC126" s="560"/>
      <c r="AD126" s="560"/>
      <c r="AE126" s="560"/>
      <c r="AF126" s="560"/>
      <c r="AG126" s="560"/>
      <c r="AH126" s="560"/>
      <c r="AI126" s="560"/>
      <c r="AJ126" s="560"/>
      <c r="AK126" s="560"/>
      <c r="AL126" s="560"/>
      <c r="AM126" s="560"/>
      <c r="AN126" s="560"/>
      <c r="AO126" s="560"/>
      <c r="AP126" s="560"/>
      <c r="AQ126" s="560"/>
      <c r="AR126" s="560"/>
      <c r="AS126" s="560"/>
      <c r="AT126" s="560"/>
      <c r="AU126" s="560"/>
      <c r="AV126" s="560"/>
      <c r="AW126" s="560"/>
      <c r="AX126" s="560"/>
      <c r="AY126" s="561"/>
      <c r="AZ126" s="561"/>
      <c r="BA126" s="561"/>
      <c r="BB126" s="561"/>
      <c r="BC126" s="561"/>
      <c r="BD126" s="561"/>
      <c r="BE126" s="561"/>
      <c r="BF126" s="561"/>
      <c r="BG126" s="561"/>
    </row>
    <row r="127" spans="1:59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560"/>
      <c r="O127" s="560"/>
      <c r="P127" s="560"/>
      <c r="Q127" s="560"/>
      <c r="R127" s="560"/>
      <c r="S127" s="560"/>
      <c r="T127" s="560"/>
      <c r="U127" s="560"/>
      <c r="V127" s="560"/>
      <c r="W127" s="560"/>
      <c r="X127" s="560"/>
      <c r="Y127" s="560"/>
      <c r="Z127" s="560"/>
      <c r="AA127" s="559"/>
      <c r="AB127" s="560"/>
      <c r="AC127" s="560"/>
      <c r="AD127" s="560"/>
      <c r="AE127" s="560"/>
      <c r="AF127" s="560"/>
      <c r="AG127" s="560"/>
      <c r="AH127" s="560"/>
      <c r="AI127" s="560"/>
      <c r="AJ127" s="560"/>
      <c r="AK127" s="560"/>
      <c r="AL127" s="560"/>
      <c r="AM127" s="560"/>
      <c r="AN127" s="560"/>
      <c r="AO127" s="560"/>
      <c r="AP127" s="560"/>
      <c r="AQ127" s="560"/>
      <c r="AR127" s="560"/>
      <c r="AS127" s="560"/>
      <c r="AT127" s="560"/>
      <c r="AU127" s="560"/>
      <c r="AV127" s="560"/>
      <c r="AW127" s="560"/>
      <c r="AX127" s="560"/>
      <c r="AY127" s="561"/>
      <c r="AZ127" s="561"/>
      <c r="BA127" s="561"/>
      <c r="BB127" s="561"/>
      <c r="BC127" s="561"/>
      <c r="BD127" s="561"/>
      <c r="BE127" s="561"/>
      <c r="BF127" s="561"/>
      <c r="BG127" s="561"/>
    </row>
    <row r="128" spans="1:59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spans="1:50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spans="1:50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spans="1:50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spans="1:50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spans="1:50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spans="1:50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spans="1:50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spans="1:50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spans="1:50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spans="1:50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spans="1:50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spans="1:50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spans="1:50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1:50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1:50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spans="1:50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spans="1:50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spans="1:50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spans="1:50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spans="1:50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spans="1:50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spans="1:50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spans="1:50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spans="1:50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spans="1:50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spans="1:50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spans="1:50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spans="1:50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spans="1:50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spans="1:50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0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spans="1:50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spans="1:50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spans="1:50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spans="1:50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spans="1:50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spans="1:50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spans="1:50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spans="1:50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spans="1:50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spans="1:50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spans="1:50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spans="1:50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spans="1:50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spans="1:50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spans="1:50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spans="1:50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spans="1:50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spans="1:50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spans="1:50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spans="1:50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spans="1:50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spans="1:50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 spans="1:50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 spans="1:50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spans="1:50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spans="1:50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spans="1:50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spans="1:50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spans="1:50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spans="1:50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1:50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spans="1:50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spans="1:50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spans="1:50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spans="1:50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spans="1:50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spans="1:50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spans="1:50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spans="1:50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spans="1:50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spans="1:50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spans="1:50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spans="1:50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1:50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0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0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spans="1:50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spans="1:50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spans="1:50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spans="1:50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spans="1:50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spans="1:50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spans="1:50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spans="1:50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1:50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1:50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1:50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1:50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1:50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1:50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1:50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1:50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1:50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1:50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1:50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1:50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1:50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1:50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1:50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1:50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1:50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1:50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1:50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1:50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1:50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1:50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1:50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1:50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1:50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1:50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1:50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1:50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1:50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1:50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0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0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1:50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1:50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1:50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1:50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1:50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1:50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1:50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1:50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1:50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1:50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1:50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1:50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1:50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1:50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0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0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1:50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1:50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1:50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1:50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1:50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1:50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1:50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1:50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1:50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1:50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0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1:50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1:50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1:50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1:50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1:50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1:50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1:50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1:50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1:50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1:50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1:50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1:50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1:50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1:50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1:50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1:50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1:50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1:50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1:50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1:50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1:50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1:50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1:50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1:50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1:50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1:50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1:50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1:50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1:50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1:50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1:50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1:50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1:50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1:50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1:50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1:50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1:50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1:50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1:50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1:50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1:50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1:50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1:50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1:50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1:50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1:50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1:50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1:50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1:50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1:50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1:50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1:50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1:50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1:50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1:50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1:50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1:50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1:50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1:50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1:50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1:50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1:50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1:50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1:50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1:50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1:50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1:50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1:50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1:50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1:50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1:50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1:50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1:50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1:50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1:50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1:50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1:50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1:50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1:50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1:50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1:50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1:50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1:50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1:50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1:50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1:50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1:50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1:50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1:50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1:50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1:50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1:50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1:50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1:50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1:50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1:50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1:50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1:50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1:50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:50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:50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:50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:50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:50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:50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:50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:50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:50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:50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:50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:50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:50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:50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:50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:50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:50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:50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:50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:50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:50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:50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0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0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:50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:50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:50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:50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:50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:50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:50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:50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1:50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1:50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1:50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1:50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1:50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1:50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1:50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1:50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1:50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1:50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1:50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1:50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1:50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1:50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1:50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1:50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1:50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1:50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1:50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1:50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 spans="1:50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1:50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1:50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1:50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1:50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1:50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1:50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1:50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1:50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1:50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1:50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1:50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1:50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1:50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1:50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1:50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1:50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1:50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1:50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1:50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1:50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1:50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1:50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1:50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1:50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1:50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1:50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1:50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1:50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1:50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1:50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1:50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1:50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1:50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1:50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1:50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1:50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1:50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1:50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1:50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1:50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 spans="1:50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spans="1:50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spans="1:50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spans="1:50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spans="1:50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spans="1:50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spans="1:50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spans="1:50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spans="1:50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spans="1:50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spans="1:50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spans="1:50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spans="1:50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spans="1:50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spans="1:50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spans="1:50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spans="1:50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spans="1:50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 spans="1:50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spans="1:50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50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spans="1:50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spans="1:50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spans="1:50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spans="1:50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spans="1:50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spans="1:50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spans="1:50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spans="1:50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spans="1:50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spans="1:50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spans="1:50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spans="1:50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 spans="1:50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spans="1:50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50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spans="1:50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spans="1:50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spans="1:50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 spans="1:50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spans="1:50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spans="1:50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 spans="1:50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spans="1:50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spans="1:50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spans="1:50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spans="1:50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spans="1:50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 spans="1:50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spans="1:50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spans="1:50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spans="1:50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spans="1:50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spans="1:50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spans="1:50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spans="1:50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spans="1:50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spans="1:50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spans="1:50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spans="1:50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spans="1:50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spans="1:50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spans="1:50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spans="1:50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spans="1:50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spans="1:50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spans="1:50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spans="1:50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spans="1:50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spans="1:50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spans="1:50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spans="1:50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spans="1:50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spans="1:50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spans="1:50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spans="1:50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spans="1:50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spans="1:50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spans="1:50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spans="1:50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spans="1:50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0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0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spans="1:50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spans="1:50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spans="1:50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spans="1:50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spans="1:50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spans="1:50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spans="1:50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spans="1:50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spans="1:50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spans="1:50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spans="1:50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spans="1:50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spans="1:50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spans="1:50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spans="1:50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spans="1:50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spans="1:50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spans="1:50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spans="1:50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spans="1:50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spans="1:50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spans="1:50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spans="1:50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spans="1:50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spans="1:50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spans="1:50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spans="1:50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spans="1:50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spans="1:50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spans="1:50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spans="1:50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spans="1:50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spans="1:50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spans="1:50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spans="1:50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spans="1:50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spans="1:50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spans="1:50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spans="1:50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spans="1:50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spans="1:50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spans="1:50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spans="1:50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spans="1:50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spans="1:50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spans="1:50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spans="1:50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spans="1:50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0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0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spans="1:50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spans="1:50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spans="1:50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spans="1:50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spans="1:50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spans="1:50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spans="1:50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spans="1:50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spans="1:50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spans="1:50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spans="1:50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spans="1:50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spans="1:50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spans="1:50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spans="1:50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spans="1:50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spans="1:50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spans="1:50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spans="1:50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spans="1:50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spans="1:50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spans="1:50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spans="1:50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spans="1:50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spans="1:50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spans="1:50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spans="1:50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spans="1:50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spans="1:50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spans="1:50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spans="1:50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spans="1:50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spans="1:50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spans="1:50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spans="1:50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spans="1:50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spans="1:50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spans="1:50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spans="1:50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spans="1:50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spans="1:50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spans="1:50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spans="1:50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spans="1:50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spans="1:50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spans="1:50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spans="1:50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spans="1:50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spans="1:50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spans="1:50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spans="1:50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spans="1:50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spans="1:50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spans="1:50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spans="1:50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spans="1:50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spans="1:50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spans="1:50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spans="1:50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spans="1:50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spans="1:50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spans="1:50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spans="1:50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spans="1:50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spans="1:50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spans="1:50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spans="1:50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spans="1:50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spans="1:50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spans="1:50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spans="1:50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spans="1:50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spans="1:50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spans="1:50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spans="1:50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spans="1:50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spans="1:50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spans="1:50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spans="1:50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spans="1:50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spans="1:50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spans="1:50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spans="1:50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spans="1:50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spans="1:50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spans="1:50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spans="1:50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spans="1:50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spans="1:50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spans="1:50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spans="1:50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spans="1:50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spans="1:50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spans="1:50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spans="1:50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spans="1:50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spans="1:50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spans="1:50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spans="1:50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spans="1:50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spans="1:50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spans="1:50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spans="1:50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spans="1:50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spans="1:50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spans="1:50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spans="1:50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spans="1:50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spans="1:50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spans="1:50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spans="1:50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spans="1:50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spans="1:50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spans="1:50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spans="1:50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spans="1:50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spans="1:50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spans="1:50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spans="1:50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spans="1:50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spans="1:50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spans="1:50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spans="1:50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spans="1:50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spans="1:50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spans="1:50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spans="1:50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spans="1:50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spans="1:50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spans="1:50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spans="1:50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spans="1:50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spans="1:50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spans="1:50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spans="1:50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spans="1:50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spans="1:50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spans="1:50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spans="1:50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spans="1:50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spans="1:50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spans="1:50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spans="1:50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spans="1:50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spans="1:50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spans="1:50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spans="1:50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spans="1:50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spans="1:50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spans="1:50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spans="1:50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spans="1:50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spans="1:50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spans="1:50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spans="1:50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spans="1:50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spans="1:50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spans="1:50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spans="1:50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spans="1:50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spans="1:50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spans="1:50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spans="1:50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spans="1:50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spans="1:50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spans="1:50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spans="1:50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spans="1:50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spans="1:50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spans="1:50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spans="1:50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spans="1:50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spans="1:50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spans="1:50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spans="1:50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spans="1:50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spans="1:50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spans="1:50" ht="19.5" customHeight="1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spans="1:50" ht="19.5" customHeight="1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spans="1:50" ht="19.5" customHeight="1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spans="1:50" ht="19.5" customHeight="1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spans="1:50" ht="19.5" customHeight="1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spans="1:50" ht="19.5" customHeight="1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spans="1:50" ht="19.5" customHeight="1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spans="1:50" ht="19.5" customHeight="1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spans="1:50" ht="19.5" customHeight="1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 spans="1:50" ht="19.5" customHeight="1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 spans="1:50" ht="19.5" customHeight="1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 spans="1:50" ht="19.5" customHeight="1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 spans="1:50" ht="19.5" customHeight="1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 spans="1:50" ht="19.5" customHeight="1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2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 spans="1:50" ht="19.5" customHeight="1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2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 spans="1:50" ht="19.5" customHeight="1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2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</sheetData>
  <mergeCells count="8">
    <mergeCell ref="F8:H8"/>
    <mergeCell ref="K8:M8"/>
    <mergeCell ref="A82:K82"/>
    <mergeCell ref="B46:D46"/>
    <mergeCell ref="B47:D47"/>
    <mergeCell ref="B48:D48"/>
    <mergeCell ref="B81:C81"/>
    <mergeCell ref="B49:D49"/>
  </mergeCells>
  <pageMargins left="0.70866141732283472" right="0.70866141732283472" top="0.74803149606299213" bottom="0.74803149606299213" header="0" footer="0"/>
  <pageSetup paperSize="9" scale="60" orientation="portrait" r:id="rId1"/>
  <ignoredErrors>
    <ignoredError sqref="J46 J71:K73 J18:K18 J51:J64 J70 L70 L52:L63 L41 O16:U16 J20:L21 J24:K30 J23 L32 J33:K35 L33:L34 K67:K70 K51:K64 K32" formulaRange="1"/>
    <ignoredError sqref="J43:K43 K45 J75:K75 J16:L16" formula="1"/>
    <ignoredError sqref="J74:K74" formula="1" formulaRange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6" workbookViewId="0">
      <selection activeCell="B35" sqref="B35"/>
    </sheetView>
  </sheetViews>
  <sheetFormatPr baseColWidth="10" defaultRowHeight="14.25"/>
  <cols>
    <col min="1" max="1" width="17.875" customWidth="1"/>
    <col min="2" max="2" width="18.75" customWidth="1"/>
    <col min="3" max="3" width="17.625" customWidth="1"/>
    <col min="8" max="8" width="6.75" customWidth="1"/>
    <col min="9" max="9" width="9.125" customWidth="1"/>
    <col min="10" max="10" width="9.75" customWidth="1"/>
    <col min="11" max="11" width="9.25" customWidth="1"/>
    <col min="13" max="13" width="8" customWidth="1"/>
  </cols>
  <sheetData>
    <row r="1" spans="1:4" ht="18">
      <c r="A1" s="171" t="s">
        <v>75</v>
      </c>
    </row>
    <row r="2" spans="1:4" s="170" customFormat="1" ht="18">
      <c r="A2" s="171" t="s">
        <v>76</v>
      </c>
    </row>
    <row r="5" spans="1:4" ht="18">
      <c r="A5" s="179" t="s">
        <v>90</v>
      </c>
      <c r="B5" s="180" t="s">
        <v>74</v>
      </c>
    </row>
    <row r="7" spans="1:4">
      <c r="B7" s="172" t="s">
        <v>237</v>
      </c>
    </row>
    <row r="8" spans="1:4">
      <c r="B8" t="s">
        <v>238</v>
      </c>
    </row>
    <row r="9" spans="1:4">
      <c r="B9" t="s">
        <v>239</v>
      </c>
    </row>
    <row r="11" spans="1:4" ht="18">
      <c r="A11" s="179" t="s">
        <v>91</v>
      </c>
      <c r="B11" s="180" t="s">
        <v>241</v>
      </c>
      <c r="C11" s="181"/>
      <c r="D11" s="166"/>
    </row>
    <row r="13" spans="1:4">
      <c r="A13" t="s">
        <v>240</v>
      </c>
      <c r="B13" s="172" t="s">
        <v>242</v>
      </c>
    </row>
    <row r="16" spans="1:4" ht="18">
      <c r="A16" s="179" t="s">
        <v>92</v>
      </c>
      <c r="B16" s="180" t="s">
        <v>243</v>
      </c>
      <c r="C16" s="181"/>
      <c r="D16" s="182"/>
    </row>
    <row r="18" spans="1:14" ht="15">
      <c r="A18" s="278"/>
      <c r="B18" s="827" t="s">
        <v>268</v>
      </c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</row>
    <row r="19" spans="1:14">
      <c r="A19" s="278"/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</row>
    <row r="20" spans="1:14" ht="45">
      <c r="A20" s="820"/>
      <c r="B20" s="832" t="s">
        <v>244</v>
      </c>
      <c r="C20" s="832" t="s">
        <v>245</v>
      </c>
      <c r="D20" s="832" t="s">
        <v>246</v>
      </c>
      <c r="E20" s="832" t="s">
        <v>247</v>
      </c>
      <c r="F20" s="832" t="s">
        <v>248</v>
      </c>
      <c r="G20" s="832" t="s">
        <v>249</v>
      </c>
      <c r="H20" s="833" t="s">
        <v>250</v>
      </c>
      <c r="I20" s="834" t="s">
        <v>251</v>
      </c>
      <c r="J20" s="834" t="s">
        <v>252</v>
      </c>
      <c r="K20" s="834" t="s">
        <v>253</v>
      </c>
      <c r="L20" s="834" t="s">
        <v>254</v>
      </c>
      <c r="M20" s="830" t="s">
        <v>270</v>
      </c>
      <c r="N20" s="831" t="s">
        <v>269</v>
      </c>
    </row>
    <row r="21" spans="1:14">
      <c r="A21" s="820">
        <v>1</v>
      </c>
      <c r="B21" s="828" t="s">
        <v>255</v>
      </c>
      <c r="C21" s="828" t="s">
        <v>256</v>
      </c>
      <c r="D21" s="821">
        <v>5</v>
      </c>
      <c r="E21" s="821">
        <v>50</v>
      </c>
      <c r="F21" s="822">
        <f>E21*D21</f>
        <v>250</v>
      </c>
      <c r="G21" s="821">
        <v>5</v>
      </c>
      <c r="H21" s="823">
        <v>2</v>
      </c>
      <c r="I21" s="824">
        <f t="shared" ref="I21:I27" si="0">G21*F21</f>
        <v>1250</v>
      </c>
      <c r="J21" s="820">
        <v>50</v>
      </c>
      <c r="K21" s="820">
        <f t="shared" ref="K21:K27" si="1">D21*H21</f>
        <v>10</v>
      </c>
      <c r="L21" s="820">
        <f>J21*K21</f>
        <v>500</v>
      </c>
      <c r="M21" s="820"/>
      <c r="N21" s="829"/>
    </row>
    <row r="22" spans="1:14">
      <c r="A22" s="820">
        <v>2</v>
      </c>
      <c r="B22" s="828" t="s">
        <v>257</v>
      </c>
      <c r="C22" s="828" t="s">
        <v>258</v>
      </c>
      <c r="D22" s="821">
        <v>10</v>
      </c>
      <c r="E22" s="821">
        <v>25</v>
      </c>
      <c r="F22" s="822">
        <f t="shared" ref="F22:F27" si="2">E22*D22</f>
        <v>250</v>
      </c>
      <c r="G22" s="821">
        <v>10</v>
      </c>
      <c r="H22" s="823">
        <v>1</v>
      </c>
      <c r="I22" s="824">
        <f t="shared" si="0"/>
        <v>2500</v>
      </c>
      <c r="J22" s="820">
        <v>50</v>
      </c>
      <c r="K22" s="820">
        <f t="shared" si="1"/>
        <v>10</v>
      </c>
      <c r="L22" s="820">
        <f t="shared" ref="L22:L27" si="3">J22*K22</f>
        <v>500</v>
      </c>
      <c r="M22" s="820"/>
      <c r="N22" s="829"/>
    </row>
    <row r="23" spans="1:14">
      <c r="A23" s="820">
        <v>3</v>
      </c>
      <c r="B23" s="828" t="s">
        <v>259</v>
      </c>
      <c r="C23" s="828" t="s">
        <v>260</v>
      </c>
      <c r="D23" s="821">
        <v>10</v>
      </c>
      <c r="E23" s="821">
        <v>25</v>
      </c>
      <c r="F23" s="822">
        <f t="shared" si="2"/>
        <v>250</v>
      </c>
      <c r="G23" s="821">
        <v>10</v>
      </c>
      <c r="H23" s="823">
        <v>1</v>
      </c>
      <c r="I23" s="824">
        <f t="shared" si="0"/>
        <v>2500</v>
      </c>
      <c r="J23" s="820">
        <v>50</v>
      </c>
      <c r="K23" s="820">
        <f t="shared" si="1"/>
        <v>10</v>
      </c>
      <c r="L23" s="820">
        <f t="shared" si="3"/>
        <v>500</v>
      </c>
      <c r="M23" s="820"/>
      <c r="N23" s="829"/>
    </row>
    <row r="24" spans="1:14">
      <c r="A24" s="820">
        <v>4</v>
      </c>
      <c r="B24" s="828" t="s">
        <v>261</v>
      </c>
      <c r="C24" s="828" t="s">
        <v>262</v>
      </c>
      <c r="D24" s="821">
        <v>4</v>
      </c>
      <c r="E24" s="821">
        <v>25</v>
      </c>
      <c r="F24" s="822">
        <f t="shared" si="2"/>
        <v>100</v>
      </c>
      <c r="G24" s="821">
        <v>4</v>
      </c>
      <c r="H24" s="823">
        <v>4</v>
      </c>
      <c r="I24" s="824">
        <f t="shared" si="0"/>
        <v>400</v>
      </c>
      <c r="J24" s="820">
        <v>20</v>
      </c>
      <c r="K24" s="820">
        <f t="shared" si="1"/>
        <v>16</v>
      </c>
      <c r="L24" s="820">
        <f t="shared" si="3"/>
        <v>320</v>
      </c>
      <c r="M24" s="820"/>
      <c r="N24" s="829"/>
    </row>
    <row r="25" spans="1:14">
      <c r="A25" s="820">
        <v>5</v>
      </c>
      <c r="B25" s="828" t="s">
        <v>263</v>
      </c>
      <c r="C25" s="828" t="s">
        <v>264</v>
      </c>
      <c r="D25" s="821">
        <v>5</v>
      </c>
      <c r="E25" s="821">
        <v>50</v>
      </c>
      <c r="F25" s="822">
        <f t="shared" si="2"/>
        <v>250</v>
      </c>
      <c r="G25" s="821">
        <v>10</v>
      </c>
      <c r="H25" s="823">
        <v>2</v>
      </c>
      <c r="I25" s="824">
        <f t="shared" si="0"/>
        <v>2500</v>
      </c>
      <c r="J25" s="820">
        <v>50</v>
      </c>
      <c r="K25" s="820">
        <f t="shared" si="1"/>
        <v>10</v>
      </c>
      <c r="L25" s="820">
        <f t="shared" si="3"/>
        <v>500</v>
      </c>
      <c r="M25" s="820"/>
      <c r="N25" s="829"/>
    </row>
    <row r="26" spans="1:14">
      <c r="A26" s="820">
        <v>6</v>
      </c>
      <c r="B26" s="828" t="s">
        <v>265</v>
      </c>
      <c r="C26" s="828" t="s">
        <v>266</v>
      </c>
      <c r="D26" s="821">
        <v>5</v>
      </c>
      <c r="E26" s="821">
        <v>50</v>
      </c>
      <c r="F26" s="822">
        <f t="shared" si="2"/>
        <v>250</v>
      </c>
      <c r="G26" s="821">
        <v>10</v>
      </c>
      <c r="H26" s="823">
        <v>2</v>
      </c>
      <c r="I26" s="824">
        <f t="shared" si="0"/>
        <v>2500</v>
      </c>
      <c r="J26" s="820">
        <v>50</v>
      </c>
      <c r="K26" s="820">
        <f t="shared" si="1"/>
        <v>10</v>
      </c>
      <c r="L26" s="820">
        <f t="shared" si="3"/>
        <v>500</v>
      </c>
      <c r="M26" s="820"/>
      <c r="N26" s="829"/>
    </row>
    <row r="27" spans="1:14">
      <c r="A27" s="820">
        <v>7</v>
      </c>
      <c r="B27" s="828" t="s">
        <v>267</v>
      </c>
      <c r="C27" s="828" t="s">
        <v>262</v>
      </c>
      <c r="D27" s="821">
        <v>5</v>
      </c>
      <c r="E27" s="821">
        <v>50</v>
      </c>
      <c r="F27" s="822">
        <f t="shared" si="2"/>
        <v>250</v>
      </c>
      <c r="G27" s="821">
        <v>5</v>
      </c>
      <c r="H27" s="823">
        <v>2</v>
      </c>
      <c r="I27" s="824">
        <f t="shared" si="0"/>
        <v>1250</v>
      </c>
      <c r="J27" s="820">
        <v>50</v>
      </c>
      <c r="K27" s="820">
        <f t="shared" si="1"/>
        <v>10</v>
      </c>
      <c r="L27" s="820">
        <f t="shared" si="3"/>
        <v>500</v>
      </c>
      <c r="M27" s="820"/>
      <c r="N27" s="829"/>
    </row>
    <row r="28" spans="1:14" ht="15">
      <c r="A28" s="278"/>
      <c r="B28" s="278"/>
      <c r="C28" s="278"/>
      <c r="D28" s="278"/>
      <c r="E28" s="278"/>
      <c r="F28" s="278"/>
      <c r="G28" s="278"/>
      <c r="H28" s="278"/>
      <c r="I28" s="825">
        <f>SUM(I21:I27)</f>
        <v>12900</v>
      </c>
      <c r="J28" s="820"/>
      <c r="K28" s="820"/>
      <c r="L28" s="826">
        <f>SUM(L21:L27)</f>
        <v>3320</v>
      </c>
      <c r="M28" s="824">
        <f>I28*3</f>
        <v>38700</v>
      </c>
      <c r="N28" s="829">
        <f>L28*3</f>
        <v>9960</v>
      </c>
    </row>
    <row r="29" spans="1:14" ht="15.75">
      <c r="A29" s="218" t="s">
        <v>89</v>
      </c>
      <c r="B29" t="s">
        <v>88</v>
      </c>
    </row>
    <row r="31" spans="1:14" ht="15">
      <c r="A31" s="166" t="s">
        <v>96</v>
      </c>
      <c r="B31" s="166" t="s">
        <v>272</v>
      </c>
    </row>
    <row r="32" spans="1:14">
      <c r="B32" s="172" t="s">
        <v>273</v>
      </c>
    </row>
    <row r="33" spans="2:2">
      <c r="B33" s="172" t="s">
        <v>274</v>
      </c>
    </row>
    <row r="34" spans="2:2">
      <c r="B34" s="172" t="s">
        <v>275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6"/>
  <sheetViews>
    <sheetView topLeftCell="A64" workbookViewId="0">
      <selection activeCell="N8" sqref="N8"/>
    </sheetView>
  </sheetViews>
  <sheetFormatPr baseColWidth="10" defaultColWidth="12.625" defaultRowHeight="15" customHeight="1"/>
  <cols>
    <col min="1" max="1" width="21.375" style="278" customWidth="1"/>
    <col min="2" max="2" width="14.125" style="278" customWidth="1"/>
    <col min="3" max="3" width="12" style="278" customWidth="1"/>
    <col min="4" max="4" width="13.75" style="278" customWidth="1"/>
    <col min="5" max="5" width="0.25" style="278" customWidth="1"/>
    <col min="6" max="6" width="11.125" style="278" customWidth="1"/>
    <col min="7" max="7" width="10.5" style="278" customWidth="1"/>
    <col min="8" max="8" width="9.625" style="278" customWidth="1"/>
    <col min="9" max="9" width="10.75" style="278" customWidth="1"/>
    <col min="10" max="10" width="11" style="278" customWidth="1"/>
    <col min="11" max="11" width="11.25" style="278" customWidth="1"/>
    <col min="12" max="12" width="12.625" style="278"/>
    <col min="13" max="13" width="15.25" style="278" customWidth="1"/>
    <col min="14" max="16384" width="12.625" style="278"/>
  </cols>
  <sheetData>
    <row r="1" spans="1:11" ht="19.5" customHeight="1">
      <c r="A1" s="137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customHeight="1">
      <c r="A3" s="138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9.5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9.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9.5" customHeight="1">
      <c r="A6" s="223" t="s">
        <v>99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</row>
    <row r="7" spans="1:11" ht="42" customHeight="1">
      <c r="A7" s="280" t="s">
        <v>99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1:11" ht="19.5" customHeight="1" thickBot="1">
      <c r="A8" s="282"/>
      <c r="B8" s="227" t="s">
        <v>103</v>
      </c>
      <c r="C8" s="1"/>
      <c r="D8" s="1"/>
      <c r="E8" s="1"/>
      <c r="F8" s="4"/>
      <c r="G8" s="4"/>
      <c r="H8" s="4"/>
      <c r="I8" s="4"/>
      <c r="J8" s="4"/>
      <c r="K8" s="4"/>
    </row>
    <row r="9" spans="1:11" ht="53.25" customHeight="1" thickBot="1">
      <c r="A9" s="283" t="s">
        <v>100</v>
      </c>
      <c r="B9" s="140"/>
      <c r="C9" s="140"/>
      <c r="D9" s="140"/>
      <c r="E9" s="154" t="s">
        <v>70</v>
      </c>
      <c r="F9" s="233">
        <v>2021</v>
      </c>
      <c r="G9" s="284" t="s">
        <v>133</v>
      </c>
      <c r="H9" s="285" t="s">
        <v>134</v>
      </c>
      <c r="I9" s="285" t="s">
        <v>135</v>
      </c>
      <c r="J9" s="285" t="s">
        <v>136</v>
      </c>
      <c r="K9" s="233" t="s">
        <v>137</v>
      </c>
    </row>
    <row r="10" spans="1:11" ht="19.5" customHeight="1">
      <c r="A10" s="286" t="s">
        <v>6</v>
      </c>
      <c r="B10" s="214"/>
      <c r="C10" s="129"/>
      <c r="D10" s="287"/>
      <c r="E10" s="141"/>
      <c r="F10" s="15"/>
      <c r="G10" s="15"/>
      <c r="H10" s="15"/>
      <c r="I10" s="15"/>
      <c r="J10" s="15"/>
      <c r="K10" s="15"/>
    </row>
    <row r="11" spans="1:11" ht="19.5" customHeight="1">
      <c r="A11" s="288" t="s">
        <v>7</v>
      </c>
      <c r="B11" s="149"/>
      <c r="C11" s="149"/>
      <c r="D11" s="149"/>
      <c r="E11" s="155"/>
      <c r="F11" s="289">
        <v>0</v>
      </c>
      <c r="G11" s="23"/>
      <c r="H11" s="23"/>
      <c r="I11" s="23"/>
      <c r="J11" s="23"/>
      <c r="K11" s="289">
        <f>J11+I11+H11+G11</f>
        <v>0</v>
      </c>
    </row>
    <row r="12" spans="1:11" ht="19.5" customHeight="1">
      <c r="A12" s="290" t="s">
        <v>8</v>
      </c>
      <c r="B12" s="291" t="s">
        <v>9</v>
      </c>
      <c r="C12" s="149"/>
      <c r="D12" s="149"/>
      <c r="E12" s="155"/>
      <c r="F12" s="289">
        <v>0</v>
      </c>
      <c r="G12" s="23"/>
      <c r="H12" s="23"/>
      <c r="I12" s="23"/>
      <c r="J12" s="23"/>
      <c r="K12" s="289">
        <f t="shared" ref="K12:K73" si="0">J12+I12+H12+G12</f>
        <v>0</v>
      </c>
    </row>
    <row r="13" spans="1:11" ht="19.5" customHeight="1">
      <c r="A13" s="288" t="s">
        <v>10</v>
      </c>
      <c r="B13" s="149"/>
      <c r="C13" s="149"/>
      <c r="D13" s="149"/>
      <c r="E13" s="155"/>
      <c r="F13" s="289">
        <v>0</v>
      </c>
      <c r="G13" s="23"/>
      <c r="H13" s="23"/>
      <c r="I13" s="23"/>
      <c r="J13" s="23"/>
      <c r="K13" s="289">
        <f t="shared" si="0"/>
        <v>0</v>
      </c>
    </row>
    <row r="14" spans="1:11" ht="19.5" customHeight="1" thickBot="1">
      <c r="A14" s="25" t="s">
        <v>11</v>
      </c>
      <c r="B14" s="292" t="s">
        <v>12</v>
      </c>
      <c r="C14" s="142"/>
      <c r="D14" s="142"/>
      <c r="E14" s="155"/>
      <c r="F14" s="289">
        <v>0</v>
      </c>
      <c r="G14" s="23"/>
      <c r="H14" s="23"/>
      <c r="I14" s="23"/>
      <c r="J14" s="23"/>
      <c r="K14" s="289">
        <f t="shared" si="0"/>
        <v>0</v>
      </c>
    </row>
    <row r="15" spans="1:11" ht="19.5" hidden="1" customHeight="1">
      <c r="A15" s="29" t="s">
        <v>13</v>
      </c>
      <c r="B15" s="142"/>
      <c r="C15" s="142"/>
      <c r="D15" s="142"/>
      <c r="E15" s="155"/>
      <c r="F15" s="289" t="e">
        <f>SUM(#REF!)</f>
        <v>#REF!</v>
      </c>
      <c r="G15" s="23"/>
      <c r="H15" s="23"/>
      <c r="I15" s="23"/>
      <c r="J15" s="23"/>
      <c r="K15" s="289">
        <f t="shared" si="0"/>
        <v>0</v>
      </c>
    </row>
    <row r="16" spans="1:11" ht="19.5" customHeight="1" thickBot="1">
      <c r="A16" s="30" t="s">
        <v>14</v>
      </c>
      <c r="B16" s="293" t="s">
        <v>28</v>
      </c>
      <c r="C16" s="294"/>
      <c r="D16" s="295"/>
      <c r="E16" s="156"/>
      <c r="F16" s="289">
        <f>SUM(F11:F14)</f>
        <v>0</v>
      </c>
      <c r="G16" s="23"/>
      <c r="H16" s="23"/>
      <c r="I16" s="23"/>
      <c r="J16" s="23"/>
      <c r="K16" s="289">
        <f t="shared" si="0"/>
        <v>0</v>
      </c>
    </row>
    <row r="17" spans="1:14" ht="19.5" customHeight="1">
      <c r="A17" s="35" t="s">
        <v>15</v>
      </c>
      <c r="B17" s="296" t="s">
        <v>16</v>
      </c>
      <c r="C17" s="129"/>
      <c r="D17" s="129"/>
      <c r="E17" s="157"/>
      <c r="F17" s="289">
        <v>0</v>
      </c>
      <c r="G17" s="23"/>
      <c r="H17" s="23"/>
      <c r="I17" s="23"/>
      <c r="J17" s="23"/>
      <c r="K17" s="289">
        <f t="shared" si="0"/>
        <v>0</v>
      </c>
    </row>
    <row r="18" spans="1:14" ht="19.5" customHeight="1">
      <c r="A18" s="297" t="s">
        <v>94</v>
      </c>
      <c r="B18" s="298" t="s">
        <v>74</v>
      </c>
      <c r="C18" s="228"/>
      <c r="D18" s="142"/>
      <c r="E18" s="155"/>
      <c r="F18" s="289">
        <v>0</v>
      </c>
      <c r="G18" s="23"/>
      <c r="H18" s="23"/>
      <c r="I18" s="23"/>
      <c r="J18" s="23"/>
      <c r="K18" s="289">
        <f t="shared" si="0"/>
        <v>0</v>
      </c>
    </row>
    <row r="19" spans="1:14" ht="19.5" customHeight="1">
      <c r="A19" s="297" t="s">
        <v>91</v>
      </c>
      <c r="B19" s="299" t="s">
        <v>77</v>
      </c>
      <c r="C19" s="228"/>
      <c r="D19" s="142"/>
      <c r="E19" s="155"/>
      <c r="F19" s="289">
        <v>0</v>
      </c>
      <c r="G19" s="23"/>
      <c r="H19" s="23"/>
      <c r="I19" s="23"/>
      <c r="J19" s="23"/>
      <c r="K19" s="289">
        <f t="shared" si="0"/>
        <v>0</v>
      </c>
    </row>
    <row r="20" spans="1:14" ht="19.5" customHeight="1">
      <c r="A20" s="297" t="s">
        <v>95</v>
      </c>
      <c r="B20" s="298" t="s">
        <v>18</v>
      </c>
      <c r="C20" s="228"/>
      <c r="D20" s="142"/>
      <c r="E20" s="155"/>
      <c r="F20" s="289">
        <v>720</v>
      </c>
      <c r="G20" s="23">
        <f>F20</f>
        <v>720</v>
      </c>
      <c r="H20" s="23"/>
      <c r="I20" s="23"/>
      <c r="J20" s="23"/>
      <c r="K20" s="289">
        <f t="shared" si="0"/>
        <v>720</v>
      </c>
    </row>
    <row r="21" spans="1:14" ht="19.5" customHeight="1">
      <c r="A21" s="297" t="s">
        <v>92</v>
      </c>
      <c r="B21" s="299" t="s">
        <v>78</v>
      </c>
      <c r="C21" s="228"/>
      <c r="D21" s="142"/>
      <c r="E21" s="155"/>
      <c r="F21" s="289">
        <v>0</v>
      </c>
      <c r="G21" s="23"/>
      <c r="H21" s="23"/>
      <c r="I21" s="23"/>
      <c r="J21" s="23"/>
      <c r="K21" s="289">
        <f t="shared" si="0"/>
        <v>0</v>
      </c>
    </row>
    <row r="22" spans="1:14" ht="19.5" customHeight="1">
      <c r="A22" s="297" t="s">
        <v>96</v>
      </c>
      <c r="B22" s="299" t="s">
        <v>80</v>
      </c>
      <c r="C22" s="228"/>
      <c r="D22" s="142"/>
      <c r="E22" s="155"/>
      <c r="F22" s="289">
        <v>0</v>
      </c>
      <c r="G22" s="23"/>
      <c r="H22" s="23"/>
      <c r="I22" s="23"/>
      <c r="J22" s="23"/>
      <c r="K22" s="289">
        <f t="shared" si="0"/>
        <v>0</v>
      </c>
    </row>
    <row r="23" spans="1:14" ht="19.5" customHeight="1">
      <c r="A23" s="297" t="s">
        <v>97</v>
      </c>
      <c r="B23" s="299" t="s">
        <v>79</v>
      </c>
      <c r="C23" s="228"/>
      <c r="D23" s="142"/>
      <c r="E23" s="155"/>
      <c r="F23" s="289">
        <v>0</v>
      </c>
      <c r="G23" s="23"/>
      <c r="H23" s="23"/>
      <c r="I23" s="23"/>
      <c r="J23" s="23"/>
      <c r="K23" s="289">
        <f t="shared" si="0"/>
        <v>0</v>
      </c>
    </row>
    <row r="24" spans="1:14" ht="19.5" customHeight="1">
      <c r="A24" s="187" t="s">
        <v>98</v>
      </c>
      <c r="B24" s="299" t="s">
        <v>81</v>
      </c>
      <c r="C24" s="228"/>
      <c r="D24" s="142"/>
      <c r="E24" s="155"/>
      <c r="F24" s="289">
        <v>5000</v>
      </c>
      <c r="G24" s="23"/>
      <c r="H24" s="23"/>
      <c r="I24" s="23"/>
      <c r="J24" s="23">
        <f>F24</f>
        <v>5000</v>
      </c>
      <c r="K24" s="289">
        <f t="shared" si="0"/>
        <v>5000</v>
      </c>
    </row>
    <row r="25" spans="1:14" ht="19.5" hidden="1" customHeight="1">
      <c r="A25" s="290" t="s">
        <v>17</v>
      </c>
      <c r="B25" s="142"/>
      <c r="C25" s="142"/>
      <c r="D25" s="142"/>
      <c r="E25" s="155"/>
      <c r="F25" s="289" t="e">
        <f>SUM(#REF!)</f>
        <v>#REF!</v>
      </c>
      <c r="G25" s="23"/>
      <c r="H25" s="23"/>
      <c r="I25" s="23"/>
      <c r="J25" s="23"/>
      <c r="K25" s="289">
        <f t="shared" si="0"/>
        <v>0</v>
      </c>
    </row>
    <row r="26" spans="1:14" ht="19.5" hidden="1" customHeight="1">
      <c r="A26" s="290" t="s">
        <v>19</v>
      </c>
      <c r="B26" s="142"/>
      <c r="C26" s="142"/>
      <c r="D26" s="142"/>
      <c r="E26" s="155"/>
      <c r="F26" s="289" t="e">
        <f>SUM(#REF!)</f>
        <v>#REF!</v>
      </c>
      <c r="G26" s="23"/>
      <c r="H26" s="23"/>
      <c r="I26" s="23"/>
      <c r="J26" s="23"/>
      <c r="K26" s="289">
        <f t="shared" si="0"/>
        <v>0</v>
      </c>
    </row>
    <row r="27" spans="1:14" ht="19.5" hidden="1" customHeight="1">
      <c r="A27" s="290" t="s">
        <v>20</v>
      </c>
      <c r="B27" s="142"/>
      <c r="C27" s="142"/>
      <c r="D27" s="142"/>
      <c r="E27" s="155"/>
      <c r="F27" s="289" t="e">
        <f>SUM(#REF!)</f>
        <v>#REF!</v>
      </c>
      <c r="G27" s="23"/>
      <c r="H27" s="23"/>
      <c r="I27" s="23"/>
      <c r="J27" s="23"/>
      <c r="K27" s="289">
        <f t="shared" si="0"/>
        <v>0</v>
      </c>
    </row>
    <row r="28" spans="1:14" ht="19.5" hidden="1" customHeight="1">
      <c r="A28" s="290" t="s">
        <v>21</v>
      </c>
      <c r="B28" s="142"/>
      <c r="C28" s="142"/>
      <c r="D28" s="142"/>
      <c r="E28" s="155"/>
      <c r="F28" s="289" t="e">
        <f>SUM(#REF!)</f>
        <v>#REF!</v>
      </c>
      <c r="G28" s="23"/>
      <c r="H28" s="23"/>
      <c r="I28" s="23"/>
      <c r="J28" s="23"/>
      <c r="K28" s="289">
        <f t="shared" si="0"/>
        <v>0</v>
      </c>
    </row>
    <row r="29" spans="1:14" ht="19.5" hidden="1" customHeight="1">
      <c r="A29" s="290" t="s">
        <v>22</v>
      </c>
      <c r="B29" s="142"/>
      <c r="C29" s="142"/>
      <c r="D29" s="142"/>
      <c r="E29" s="155"/>
      <c r="F29" s="289" t="e">
        <f>SUM(#REF!)</f>
        <v>#REF!</v>
      </c>
      <c r="G29" s="23"/>
      <c r="H29" s="23"/>
      <c r="I29" s="23"/>
      <c r="J29" s="23"/>
      <c r="K29" s="289">
        <f t="shared" si="0"/>
        <v>0</v>
      </c>
    </row>
    <row r="30" spans="1:14" ht="19.5" customHeight="1">
      <c r="A30" s="188" t="s">
        <v>23</v>
      </c>
      <c r="B30" s="300" t="s">
        <v>82</v>
      </c>
      <c r="C30" s="206"/>
      <c r="D30" s="301"/>
      <c r="E30" s="158"/>
      <c r="F30" s="289">
        <v>10117</v>
      </c>
      <c r="G30" s="23"/>
      <c r="H30" s="23">
        <f>F30</f>
        <v>10117</v>
      </c>
      <c r="I30" s="23"/>
      <c r="J30" s="23"/>
      <c r="K30" s="289">
        <f t="shared" si="0"/>
        <v>10117</v>
      </c>
      <c r="L30" s="302" t="s">
        <v>138</v>
      </c>
      <c r="M30" s="303"/>
      <c r="N30" s="303"/>
    </row>
    <row r="31" spans="1:14" ht="19.5" customHeight="1">
      <c r="A31" s="183" t="s">
        <v>23</v>
      </c>
      <c r="B31" s="304" t="s">
        <v>83</v>
      </c>
      <c r="C31" s="208"/>
      <c r="D31" s="208"/>
      <c r="E31" s="159"/>
      <c r="F31" s="289">
        <v>5000</v>
      </c>
      <c r="G31" s="23">
        <f>F31</f>
        <v>5000</v>
      </c>
      <c r="H31" s="23"/>
      <c r="I31" s="23"/>
      <c r="J31" s="23"/>
      <c r="K31" s="289">
        <f t="shared" si="0"/>
        <v>5000</v>
      </c>
    </row>
    <row r="32" spans="1:14" ht="19.5" customHeight="1">
      <c r="A32" s="48" t="s">
        <v>23</v>
      </c>
      <c r="B32" s="305" t="s">
        <v>24</v>
      </c>
      <c r="C32" s="306"/>
      <c r="D32" s="306"/>
      <c r="E32" s="160"/>
      <c r="F32" s="289">
        <v>0</v>
      </c>
      <c r="G32" s="23"/>
      <c r="H32" s="23"/>
      <c r="I32" s="23"/>
      <c r="J32" s="23"/>
      <c r="K32" s="289">
        <f t="shared" si="0"/>
        <v>0</v>
      </c>
    </row>
    <row r="33" spans="1:11" ht="19.5" customHeight="1">
      <c r="A33" s="191" t="s">
        <v>25</v>
      </c>
      <c r="B33" s="307" t="s">
        <v>26</v>
      </c>
      <c r="C33" s="217"/>
      <c r="D33" s="308"/>
      <c r="E33" s="162"/>
      <c r="F33" s="289">
        <v>8279</v>
      </c>
      <c r="G33" s="23">
        <f>F33</f>
        <v>8279</v>
      </c>
      <c r="H33" s="23"/>
      <c r="I33" s="23"/>
      <c r="J33" s="23"/>
      <c r="K33" s="289">
        <f t="shared" si="0"/>
        <v>8279</v>
      </c>
    </row>
    <row r="34" spans="1:11" ht="19.5" customHeight="1">
      <c r="A34" s="191" t="s">
        <v>25</v>
      </c>
      <c r="B34" s="307" t="s">
        <v>27</v>
      </c>
      <c r="C34" s="217"/>
      <c r="D34" s="308"/>
      <c r="E34" s="162"/>
      <c r="F34" s="289">
        <v>9276</v>
      </c>
      <c r="G34" s="23">
        <f>F34*0.8</f>
        <v>7420.8</v>
      </c>
      <c r="H34" s="23"/>
      <c r="I34" s="23"/>
      <c r="J34" s="23">
        <f>F34*0.2</f>
        <v>1855.2</v>
      </c>
      <c r="K34" s="289">
        <f t="shared" si="0"/>
        <v>9276</v>
      </c>
    </row>
    <row r="35" spans="1:11" ht="19.5" customHeight="1" thickBot="1">
      <c r="A35" s="199" t="s">
        <v>84</v>
      </c>
      <c r="B35" s="200" t="s">
        <v>104</v>
      </c>
      <c r="C35" s="194"/>
      <c r="D35" s="195"/>
      <c r="E35" s="162"/>
      <c r="F35" s="289">
        <v>4700</v>
      </c>
      <c r="G35" s="23">
        <f>F35</f>
        <v>4700</v>
      </c>
      <c r="H35" s="23"/>
      <c r="I35" s="23"/>
      <c r="J35" s="23"/>
      <c r="K35" s="289">
        <f t="shared" si="0"/>
        <v>4700</v>
      </c>
    </row>
    <row r="36" spans="1:11" ht="19.5" customHeight="1" thickBot="1">
      <c r="A36" s="30"/>
      <c r="B36" s="293" t="s">
        <v>28</v>
      </c>
      <c r="C36" s="294"/>
      <c r="D36" s="150"/>
      <c r="E36" s="161"/>
      <c r="F36" s="289"/>
      <c r="G36" s="23"/>
      <c r="H36" s="23"/>
      <c r="I36" s="23"/>
      <c r="J36" s="23"/>
      <c r="K36" s="289">
        <f t="shared" si="0"/>
        <v>0</v>
      </c>
    </row>
    <row r="37" spans="1:11" ht="19.5" customHeight="1" thickBot="1">
      <c r="A37" s="53" t="s">
        <v>139</v>
      </c>
      <c r="B37" s="309" t="s">
        <v>28</v>
      </c>
      <c r="C37" s="310"/>
      <c r="D37" s="148"/>
      <c r="E37" s="143"/>
      <c r="F37" s="311">
        <f>F35+F34+F33+F31+F32+F30+F24+F23+F22+F21+F20+F19+F18</f>
        <v>43092</v>
      </c>
      <c r="G37" s="201">
        <f t="shared" ref="G37:J37" si="1">G35+G34+G33+G31+G32+G30+G24+G23+G22+G21+G20+G19+G18</f>
        <v>26119.8</v>
      </c>
      <c r="H37" s="201">
        <f t="shared" si="1"/>
        <v>10117</v>
      </c>
      <c r="I37" s="201">
        <f t="shared" si="1"/>
        <v>0</v>
      </c>
      <c r="J37" s="201">
        <f t="shared" si="1"/>
        <v>6855.2</v>
      </c>
      <c r="K37" s="289">
        <f t="shared" si="0"/>
        <v>43092</v>
      </c>
    </row>
    <row r="38" spans="1:11" ht="12" customHeight="1" thickBot="1">
      <c r="A38" s="3"/>
      <c r="B38" s="1"/>
      <c r="C38" s="1"/>
      <c r="D38" s="1"/>
      <c r="E38" s="1"/>
      <c r="F38" s="312"/>
      <c r="G38" s="23"/>
      <c r="H38" s="23"/>
      <c r="I38" s="23"/>
      <c r="J38" s="23"/>
      <c r="K38" s="289">
        <f t="shared" si="0"/>
        <v>0</v>
      </c>
    </row>
    <row r="39" spans="1:11" ht="19.5" customHeight="1" thickBot="1">
      <c r="A39" s="5" t="s">
        <v>101</v>
      </c>
      <c r="B39" s="140"/>
      <c r="C39" s="140"/>
      <c r="D39" s="140"/>
      <c r="E39" s="154" t="s">
        <v>71</v>
      </c>
      <c r="F39" s="312"/>
      <c r="G39" s="23"/>
      <c r="H39" s="23"/>
      <c r="I39" s="23"/>
      <c r="J39" s="23"/>
      <c r="K39" s="289">
        <f t="shared" si="0"/>
        <v>0</v>
      </c>
    </row>
    <row r="40" spans="1:11" ht="19.5" customHeight="1">
      <c r="A40" s="290" t="s">
        <v>30</v>
      </c>
      <c r="B40" s="296"/>
      <c r="C40" s="129"/>
      <c r="D40" s="142"/>
      <c r="E40" s="155"/>
      <c r="F40" s="289">
        <v>0</v>
      </c>
      <c r="G40" s="23"/>
      <c r="H40" s="23"/>
      <c r="I40" s="23"/>
      <c r="J40" s="23"/>
      <c r="K40" s="289">
        <f t="shared" si="0"/>
        <v>0</v>
      </c>
    </row>
    <row r="41" spans="1:11" ht="19.5" customHeight="1" thickBot="1">
      <c r="A41" s="29" t="s">
        <v>31</v>
      </c>
      <c r="B41" s="151"/>
      <c r="C41" s="151"/>
      <c r="D41" s="149"/>
      <c r="E41" s="155"/>
      <c r="F41" s="289">
        <v>0</v>
      </c>
      <c r="G41" s="23"/>
      <c r="H41" s="23"/>
      <c r="I41" s="23"/>
      <c r="J41" s="23"/>
      <c r="K41" s="289">
        <f t="shared" si="0"/>
        <v>0</v>
      </c>
    </row>
    <row r="42" spans="1:11" ht="19.5" hidden="1" customHeight="1">
      <c r="A42" s="29" t="s">
        <v>32</v>
      </c>
      <c r="B42" s="151"/>
      <c r="C42" s="151"/>
      <c r="D42" s="151"/>
      <c r="E42" s="157"/>
      <c r="F42" s="289" t="e">
        <f>SUM(#REF!)</f>
        <v>#REF!</v>
      </c>
      <c r="G42" s="23"/>
      <c r="H42" s="23"/>
      <c r="I42" s="23"/>
      <c r="J42" s="23"/>
      <c r="K42" s="289">
        <f t="shared" si="0"/>
        <v>0</v>
      </c>
    </row>
    <row r="43" spans="1:11" ht="19.5" customHeight="1" thickBot="1">
      <c r="A43" s="30" t="s">
        <v>14</v>
      </c>
      <c r="B43" s="293" t="s">
        <v>28</v>
      </c>
      <c r="C43" s="294"/>
      <c r="D43" s="150"/>
      <c r="E43" s="161"/>
      <c r="F43" s="289">
        <v>0</v>
      </c>
      <c r="G43" s="23"/>
      <c r="H43" s="23"/>
      <c r="I43" s="23"/>
      <c r="J43" s="23"/>
      <c r="K43" s="289">
        <f t="shared" si="0"/>
        <v>0</v>
      </c>
    </row>
    <row r="44" spans="1:11" ht="19.5" customHeight="1">
      <c r="A44" s="29" t="s">
        <v>33</v>
      </c>
      <c r="B44" s="313" t="s">
        <v>28</v>
      </c>
      <c r="C44" s="129"/>
      <c r="D44" s="129"/>
      <c r="E44" s="157"/>
      <c r="F44" s="289">
        <v>0</v>
      </c>
      <c r="G44" s="23"/>
      <c r="H44" s="23"/>
      <c r="I44" s="23"/>
      <c r="J44" s="23"/>
      <c r="K44" s="289">
        <f t="shared" si="0"/>
        <v>0</v>
      </c>
    </row>
    <row r="45" spans="1:11" ht="30" customHeight="1">
      <c r="A45" s="314" t="s">
        <v>34</v>
      </c>
      <c r="B45" s="315" t="str">
        <f>B21</f>
        <v xml:space="preserve"> Ateliers collectifs bénéficiaires </v>
      </c>
      <c r="C45" s="153"/>
      <c r="D45" s="153"/>
      <c r="E45" s="163"/>
      <c r="F45" s="289">
        <v>0</v>
      </c>
      <c r="G45" s="23"/>
      <c r="H45" s="23"/>
      <c r="I45" s="23"/>
      <c r="J45" s="23"/>
      <c r="K45" s="289">
        <f t="shared" si="0"/>
        <v>0</v>
      </c>
    </row>
    <row r="46" spans="1:11" ht="39" customHeight="1">
      <c r="A46" s="202" t="s">
        <v>35</v>
      </c>
      <c r="B46" s="841" t="s">
        <v>85</v>
      </c>
      <c r="C46" s="849"/>
      <c r="D46" s="849"/>
      <c r="E46" s="164"/>
      <c r="F46" s="289">
        <v>0</v>
      </c>
      <c r="G46" s="23"/>
      <c r="H46" s="23"/>
      <c r="I46" s="23"/>
      <c r="J46" s="23"/>
      <c r="K46" s="289">
        <f t="shared" si="0"/>
        <v>0</v>
      </c>
    </row>
    <row r="47" spans="1:11" ht="39" customHeight="1">
      <c r="A47" s="202" t="s">
        <v>36</v>
      </c>
      <c r="B47" s="858" t="str">
        <f>B24</f>
        <v xml:space="preserve">Cures Remise en Santé </v>
      </c>
      <c r="C47" s="849"/>
      <c r="D47" s="849"/>
      <c r="E47" s="164"/>
      <c r="F47" s="289">
        <v>4000</v>
      </c>
      <c r="G47" s="23"/>
      <c r="H47" s="23"/>
      <c r="I47" s="23"/>
      <c r="J47" s="23">
        <f>F47</f>
        <v>4000</v>
      </c>
      <c r="K47" s="289">
        <f t="shared" si="0"/>
        <v>4000</v>
      </c>
    </row>
    <row r="48" spans="1:11" ht="46.9" customHeight="1">
      <c r="A48" s="203" t="s">
        <v>37</v>
      </c>
      <c r="B48" s="841" t="s">
        <v>86</v>
      </c>
      <c r="C48" s="849"/>
      <c r="D48" s="849"/>
      <c r="E48" s="164"/>
      <c r="F48" s="289">
        <v>4000</v>
      </c>
      <c r="G48" s="23">
        <f>F48</f>
        <v>4000</v>
      </c>
      <c r="H48" s="23"/>
      <c r="I48" s="23"/>
      <c r="J48" s="23"/>
      <c r="K48" s="289">
        <f t="shared" si="0"/>
        <v>4000</v>
      </c>
    </row>
    <row r="49" spans="1:12" ht="28.5" customHeight="1">
      <c r="A49" s="204" t="s">
        <v>73</v>
      </c>
      <c r="B49" s="841" t="s">
        <v>140</v>
      </c>
      <c r="C49" s="841"/>
      <c r="D49" s="859"/>
      <c r="E49" s="164"/>
      <c r="F49" s="289">
        <v>0</v>
      </c>
      <c r="G49" s="23"/>
      <c r="H49" s="23"/>
      <c r="I49" s="23"/>
      <c r="J49" s="23"/>
      <c r="K49" s="289">
        <f t="shared" si="0"/>
        <v>0</v>
      </c>
    </row>
    <row r="50" spans="1:12" ht="19.5" customHeight="1">
      <c r="A50" s="316" t="s">
        <v>87</v>
      </c>
      <c r="B50" s="300" t="s">
        <v>141</v>
      </c>
      <c r="C50" s="206"/>
      <c r="D50" s="206"/>
      <c r="E50" s="157"/>
      <c r="F50" s="289">
        <v>46445</v>
      </c>
      <c r="G50" s="23"/>
      <c r="H50" s="23">
        <f>F50</f>
        <v>46445</v>
      </c>
      <c r="I50" s="23"/>
      <c r="J50" s="23"/>
      <c r="K50" s="289">
        <f t="shared" si="0"/>
        <v>46445</v>
      </c>
      <c r="L50" s="303" t="s">
        <v>142</v>
      </c>
    </row>
    <row r="51" spans="1:12" ht="19.5" customHeight="1">
      <c r="A51" s="317" t="s">
        <v>38</v>
      </c>
      <c r="B51" s="318" t="s">
        <v>143</v>
      </c>
      <c r="C51" s="208"/>
      <c r="D51" s="208"/>
      <c r="E51" s="159"/>
      <c r="F51" s="289">
        <v>4700</v>
      </c>
      <c r="G51" s="23">
        <f>F51</f>
        <v>4700</v>
      </c>
      <c r="H51" s="23"/>
      <c r="I51" s="23"/>
      <c r="J51" s="23"/>
      <c r="K51" s="289">
        <f t="shared" si="0"/>
        <v>4700</v>
      </c>
    </row>
    <row r="52" spans="1:12" ht="19.5" customHeight="1">
      <c r="A52" s="319" t="s">
        <v>87</v>
      </c>
      <c r="B52" s="320" t="s">
        <v>144</v>
      </c>
      <c r="C52" s="212"/>
      <c r="D52" s="212"/>
      <c r="E52" s="160"/>
      <c r="F52" s="289">
        <v>1000</v>
      </c>
      <c r="G52" s="23">
        <f>F52</f>
        <v>1000</v>
      </c>
      <c r="H52" s="23"/>
      <c r="I52" s="23"/>
      <c r="J52" s="23"/>
      <c r="K52" s="289">
        <f t="shared" si="0"/>
        <v>1000</v>
      </c>
    </row>
    <row r="53" spans="1:12" ht="19.5" hidden="1" customHeight="1">
      <c r="A53" s="319" t="s">
        <v>87</v>
      </c>
      <c r="B53" s="296" t="s">
        <v>145</v>
      </c>
      <c r="C53" s="129"/>
      <c r="D53" s="129"/>
      <c r="E53" s="157"/>
      <c r="F53" s="289" t="e">
        <f>SUM(#REF!)</f>
        <v>#REF!</v>
      </c>
      <c r="G53" s="23" t="e">
        <f t="shared" ref="G53:G68" si="2">F53</f>
        <v>#REF!</v>
      </c>
      <c r="H53" s="23"/>
      <c r="I53" s="23"/>
      <c r="J53" s="23"/>
      <c r="K53" s="289" t="e">
        <f t="shared" si="0"/>
        <v>#REF!</v>
      </c>
    </row>
    <row r="54" spans="1:12" ht="19.5" hidden="1" customHeight="1">
      <c r="A54" s="319" t="s">
        <v>87</v>
      </c>
      <c r="B54" s="129"/>
      <c r="C54" s="129"/>
      <c r="D54" s="129"/>
      <c r="E54" s="157"/>
      <c r="F54" s="289" t="e">
        <f>SUM(#REF!)</f>
        <v>#REF!</v>
      </c>
      <c r="G54" s="23" t="e">
        <f t="shared" si="2"/>
        <v>#REF!</v>
      </c>
      <c r="H54" s="23"/>
      <c r="I54" s="23"/>
      <c r="J54" s="23"/>
      <c r="K54" s="289" t="e">
        <f t="shared" si="0"/>
        <v>#REF!</v>
      </c>
    </row>
    <row r="55" spans="1:12" ht="19.5" hidden="1" customHeight="1">
      <c r="A55" s="319" t="s">
        <v>87</v>
      </c>
      <c r="B55" s="129"/>
      <c r="C55" s="129"/>
      <c r="D55" s="129"/>
      <c r="E55" s="157"/>
      <c r="F55" s="289" t="e">
        <f>SUM(#REF!)</f>
        <v>#REF!</v>
      </c>
      <c r="G55" s="23" t="e">
        <f t="shared" si="2"/>
        <v>#REF!</v>
      </c>
      <c r="H55" s="23"/>
      <c r="I55" s="23"/>
      <c r="J55" s="23"/>
      <c r="K55" s="289" t="e">
        <f t="shared" si="0"/>
        <v>#REF!</v>
      </c>
    </row>
    <row r="56" spans="1:12" ht="19.5" hidden="1" customHeight="1">
      <c r="A56" s="319" t="s">
        <v>87</v>
      </c>
      <c r="B56" s="129"/>
      <c r="C56" s="129"/>
      <c r="D56" s="129"/>
      <c r="E56" s="157"/>
      <c r="F56" s="289" t="e">
        <f>SUM(#REF!)</f>
        <v>#REF!</v>
      </c>
      <c r="G56" s="23" t="e">
        <f t="shared" si="2"/>
        <v>#REF!</v>
      </c>
      <c r="H56" s="23"/>
      <c r="I56" s="23"/>
      <c r="J56" s="23"/>
      <c r="K56" s="289" t="e">
        <f t="shared" si="0"/>
        <v>#REF!</v>
      </c>
    </row>
    <row r="57" spans="1:12" ht="19.5" hidden="1" customHeight="1">
      <c r="A57" s="319" t="s">
        <v>87</v>
      </c>
      <c r="B57" s="129"/>
      <c r="C57" s="129"/>
      <c r="D57" s="129"/>
      <c r="E57" s="157"/>
      <c r="F57" s="289" t="e">
        <f>SUM(#REF!)</f>
        <v>#REF!</v>
      </c>
      <c r="G57" s="23" t="e">
        <f t="shared" si="2"/>
        <v>#REF!</v>
      </c>
      <c r="H57" s="23"/>
      <c r="I57" s="23"/>
      <c r="J57" s="23"/>
      <c r="K57" s="289" t="e">
        <f t="shared" si="0"/>
        <v>#REF!</v>
      </c>
    </row>
    <row r="58" spans="1:12" ht="19.5" hidden="1" customHeight="1">
      <c r="A58" s="319" t="s">
        <v>87</v>
      </c>
      <c r="B58" s="129"/>
      <c r="C58" s="129"/>
      <c r="D58" s="129"/>
      <c r="E58" s="157"/>
      <c r="F58" s="289" t="e">
        <f>SUM(#REF!)</f>
        <v>#REF!</v>
      </c>
      <c r="G58" s="23" t="e">
        <f t="shared" si="2"/>
        <v>#REF!</v>
      </c>
      <c r="H58" s="23"/>
      <c r="I58" s="23"/>
      <c r="J58" s="23"/>
      <c r="K58" s="289" t="e">
        <f t="shared" si="0"/>
        <v>#REF!</v>
      </c>
    </row>
    <row r="59" spans="1:12" ht="19.5" hidden="1" customHeight="1">
      <c r="A59" s="319" t="s">
        <v>87</v>
      </c>
      <c r="B59" s="129"/>
      <c r="C59" s="129"/>
      <c r="D59" s="129"/>
      <c r="E59" s="157"/>
      <c r="F59" s="289" t="e">
        <f>SUM(#REF!)</f>
        <v>#REF!</v>
      </c>
      <c r="G59" s="23" t="e">
        <f t="shared" si="2"/>
        <v>#REF!</v>
      </c>
      <c r="H59" s="23"/>
      <c r="I59" s="23"/>
      <c r="J59" s="23"/>
      <c r="K59" s="289" t="e">
        <f t="shared" si="0"/>
        <v>#REF!</v>
      </c>
    </row>
    <row r="60" spans="1:12" ht="19.5" hidden="1" customHeight="1">
      <c r="A60" s="319" t="s">
        <v>87</v>
      </c>
      <c r="B60" s="129"/>
      <c r="C60" s="129"/>
      <c r="D60" s="129"/>
      <c r="E60" s="157"/>
      <c r="F60" s="289" t="e">
        <f>SUM(#REF!)</f>
        <v>#REF!</v>
      </c>
      <c r="G60" s="23" t="e">
        <f t="shared" si="2"/>
        <v>#REF!</v>
      </c>
      <c r="H60" s="23"/>
      <c r="I60" s="23"/>
      <c r="J60" s="23"/>
      <c r="K60" s="289" t="e">
        <f t="shared" si="0"/>
        <v>#REF!</v>
      </c>
    </row>
    <row r="61" spans="1:12" ht="19.5" hidden="1" customHeight="1">
      <c r="A61" s="319" t="s">
        <v>87</v>
      </c>
      <c r="B61" s="129"/>
      <c r="C61" s="129"/>
      <c r="D61" s="129"/>
      <c r="E61" s="157"/>
      <c r="F61" s="289" t="e">
        <f>SUM(#REF!)</f>
        <v>#REF!</v>
      </c>
      <c r="G61" s="23" t="e">
        <f t="shared" si="2"/>
        <v>#REF!</v>
      </c>
      <c r="H61" s="23"/>
      <c r="I61" s="23"/>
      <c r="J61" s="23"/>
      <c r="K61" s="289" t="e">
        <f t="shared" si="0"/>
        <v>#REF!</v>
      </c>
    </row>
    <row r="62" spans="1:12" ht="19.5" hidden="1" customHeight="1">
      <c r="A62" s="319" t="s">
        <v>87</v>
      </c>
      <c r="B62" s="129"/>
      <c r="C62" s="129"/>
      <c r="D62" s="129"/>
      <c r="E62" s="157"/>
      <c r="F62" s="289" t="e">
        <f>SUM(#REF!)</f>
        <v>#REF!</v>
      </c>
      <c r="G62" s="23" t="e">
        <f t="shared" si="2"/>
        <v>#REF!</v>
      </c>
      <c r="H62" s="23"/>
      <c r="I62" s="23"/>
      <c r="J62" s="23"/>
      <c r="K62" s="289" t="e">
        <f t="shared" si="0"/>
        <v>#REF!</v>
      </c>
    </row>
    <row r="63" spans="1:12" ht="19.5" hidden="1" customHeight="1">
      <c r="A63" s="319" t="s">
        <v>87</v>
      </c>
      <c r="B63" s="129"/>
      <c r="C63" s="129"/>
      <c r="D63" s="129"/>
      <c r="E63" s="157"/>
      <c r="F63" s="289" t="e">
        <f>SUM(#REF!)</f>
        <v>#REF!</v>
      </c>
      <c r="G63" s="23" t="e">
        <f t="shared" si="2"/>
        <v>#REF!</v>
      </c>
      <c r="H63" s="23"/>
      <c r="I63" s="23"/>
      <c r="J63" s="23"/>
      <c r="K63" s="289" t="e">
        <f t="shared" si="0"/>
        <v>#REF!</v>
      </c>
    </row>
    <row r="64" spans="1:12" ht="19.5" customHeight="1">
      <c r="A64" s="319" t="s">
        <v>106</v>
      </c>
      <c r="B64" s="320" t="s">
        <v>146</v>
      </c>
      <c r="C64" s="214"/>
      <c r="D64" s="214"/>
      <c r="E64" s="157"/>
      <c r="F64" s="289">
        <v>500</v>
      </c>
      <c r="G64" s="23">
        <v>125</v>
      </c>
      <c r="H64" s="23">
        <v>125</v>
      </c>
      <c r="I64" s="23">
        <v>125</v>
      </c>
      <c r="J64" s="23">
        <v>125</v>
      </c>
      <c r="K64" s="289">
        <f t="shared" si="0"/>
        <v>500</v>
      </c>
    </row>
    <row r="65" spans="1:11" ht="19.5" customHeight="1">
      <c r="A65" s="321" t="s">
        <v>38</v>
      </c>
      <c r="B65" s="322" t="s">
        <v>66</v>
      </c>
      <c r="C65" s="217"/>
      <c r="D65" s="217"/>
      <c r="E65" s="162"/>
      <c r="F65" s="289">
        <v>12600</v>
      </c>
      <c r="G65" s="23">
        <f t="shared" si="2"/>
        <v>12600</v>
      </c>
      <c r="H65" s="23"/>
      <c r="I65" s="23"/>
      <c r="J65" s="23"/>
      <c r="K65" s="289">
        <f t="shared" si="0"/>
        <v>12600</v>
      </c>
    </row>
    <row r="66" spans="1:11" ht="19.5" customHeight="1">
      <c r="A66" s="321" t="s">
        <v>51</v>
      </c>
      <c r="B66" s="307" t="s">
        <v>52</v>
      </c>
      <c r="C66" s="217"/>
      <c r="D66" s="217"/>
      <c r="E66" s="162"/>
      <c r="F66" s="289">
        <v>3030</v>
      </c>
      <c r="G66" s="23">
        <f t="shared" si="2"/>
        <v>3030</v>
      </c>
      <c r="H66" s="23"/>
      <c r="I66" s="23"/>
      <c r="J66" s="23"/>
      <c r="K66" s="289">
        <f t="shared" si="0"/>
        <v>3030</v>
      </c>
    </row>
    <row r="67" spans="1:11" ht="19.5" customHeight="1">
      <c r="A67" s="321" t="s">
        <v>38</v>
      </c>
      <c r="B67" s="322" t="s">
        <v>67</v>
      </c>
      <c r="C67" s="217"/>
      <c r="D67" s="217"/>
      <c r="E67" s="162"/>
      <c r="F67" s="289">
        <v>11250</v>
      </c>
      <c r="G67" s="23">
        <f t="shared" si="2"/>
        <v>11250</v>
      </c>
      <c r="H67" s="23"/>
      <c r="I67" s="23"/>
      <c r="J67" s="23"/>
      <c r="K67" s="289">
        <f t="shared" si="0"/>
        <v>11250</v>
      </c>
    </row>
    <row r="68" spans="1:11" ht="19.5" customHeight="1">
      <c r="A68" s="321" t="s">
        <v>51</v>
      </c>
      <c r="B68" s="307" t="s">
        <v>53</v>
      </c>
      <c r="C68" s="217"/>
      <c r="D68" s="217"/>
      <c r="E68" s="162"/>
      <c r="F68" s="289">
        <v>2700</v>
      </c>
      <c r="G68" s="23">
        <f t="shared" si="2"/>
        <v>2700</v>
      </c>
      <c r="H68" s="23"/>
      <c r="I68" s="23"/>
      <c r="J68" s="23"/>
      <c r="K68" s="289">
        <f t="shared" si="0"/>
        <v>2700</v>
      </c>
    </row>
    <row r="69" spans="1:11" ht="19.5" customHeight="1" thickBot="1">
      <c r="A69" s="29" t="s">
        <v>54</v>
      </c>
      <c r="B69" s="323" t="s">
        <v>72</v>
      </c>
      <c r="C69" s="129"/>
      <c r="D69" s="129"/>
      <c r="E69" s="157"/>
      <c r="F69" s="289">
        <v>0</v>
      </c>
      <c r="G69" s="23"/>
      <c r="H69" s="23"/>
      <c r="I69" s="23"/>
      <c r="J69" s="23"/>
      <c r="K69" s="289">
        <f t="shared" si="0"/>
        <v>0</v>
      </c>
    </row>
    <row r="70" spans="1:11" ht="19.5" customHeight="1" thickBot="1">
      <c r="A70" s="30"/>
      <c r="B70" s="293" t="s">
        <v>28</v>
      </c>
      <c r="C70" s="324"/>
      <c r="D70" s="147"/>
      <c r="E70" s="165"/>
      <c r="F70" s="289"/>
      <c r="G70" s="23"/>
      <c r="H70" s="23"/>
      <c r="I70" s="23"/>
      <c r="J70" s="23"/>
      <c r="K70" s="289">
        <f t="shared" si="0"/>
        <v>0</v>
      </c>
    </row>
    <row r="71" spans="1:11" ht="19.5" customHeight="1" thickBot="1">
      <c r="A71" s="53" t="s">
        <v>102</v>
      </c>
      <c r="B71" s="310"/>
      <c r="C71" s="310"/>
      <c r="D71" s="148"/>
      <c r="E71" s="143"/>
      <c r="F71" s="311">
        <f>F68+F67+F66+F65+F64+F51+F50+F49+F48+F47+F46+F45+F52</f>
        <v>90225</v>
      </c>
      <c r="G71" s="55">
        <f t="shared" ref="G71:J71" si="3">G68+G67+G66+G65+G64+G51+G50+G49+G48+G47+G46+G45+G52</f>
        <v>39405</v>
      </c>
      <c r="H71" s="55">
        <f t="shared" si="3"/>
        <v>46570</v>
      </c>
      <c r="I71" s="55">
        <f t="shared" si="3"/>
        <v>125</v>
      </c>
      <c r="J71" s="55">
        <f t="shared" si="3"/>
        <v>4125</v>
      </c>
      <c r="K71" s="289">
        <f t="shared" si="0"/>
        <v>90225</v>
      </c>
    </row>
    <row r="72" spans="1:11" ht="19.5" customHeight="1">
      <c r="A72" s="139" t="s">
        <v>69</v>
      </c>
      <c r="B72" s="1"/>
      <c r="C72" s="1"/>
      <c r="D72" s="1"/>
      <c r="E72" s="1"/>
      <c r="F72" s="312">
        <f>F37-F71</f>
        <v>-47133</v>
      </c>
      <c r="G72" s="22">
        <f t="shared" ref="G72:J72" si="4">G37-G71</f>
        <v>-13285.2</v>
      </c>
      <c r="H72" s="22">
        <f t="shared" si="4"/>
        <v>-36453</v>
      </c>
      <c r="I72" s="22">
        <f t="shared" si="4"/>
        <v>-125</v>
      </c>
      <c r="J72" s="22">
        <f t="shared" si="4"/>
        <v>2730.2</v>
      </c>
      <c r="K72" s="289">
        <f t="shared" si="0"/>
        <v>-47133</v>
      </c>
    </row>
    <row r="73" spans="1:11" ht="19.5" customHeight="1">
      <c r="A73" s="95" t="s">
        <v>55</v>
      </c>
      <c r="B73" s="95"/>
      <c r="C73" s="95"/>
      <c r="D73" s="95"/>
      <c r="E73" s="144"/>
      <c r="F73" s="312">
        <f>+F72</f>
        <v>-47133</v>
      </c>
      <c r="G73" s="22">
        <f t="shared" ref="G73:J73" si="5">+G72</f>
        <v>-13285.2</v>
      </c>
      <c r="H73" s="22">
        <f t="shared" si="5"/>
        <v>-36453</v>
      </c>
      <c r="I73" s="22">
        <f t="shared" si="5"/>
        <v>-125</v>
      </c>
      <c r="J73" s="22">
        <f t="shared" si="5"/>
        <v>2730.2</v>
      </c>
      <c r="K73" s="289">
        <f t="shared" si="0"/>
        <v>-47133</v>
      </c>
    </row>
    <row r="74" spans="1:11" ht="19.5" customHeight="1" thickBot="1">
      <c r="A74" s="134"/>
      <c r="B74" s="134"/>
      <c r="C74" s="134"/>
      <c r="D74" s="134"/>
      <c r="E74" s="134"/>
      <c r="F74" s="312"/>
      <c r="G74" s="23"/>
      <c r="H74" s="23"/>
      <c r="I74" s="23"/>
      <c r="J74" s="23"/>
      <c r="K74" s="289"/>
    </row>
    <row r="75" spans="1:11" ht="39.75" customHeight="1">
      <c r="A75" s="219" t="s">
        <v>56</v>
      </c>
      <c r="B75" s="842" t="s">
        <v>28</v>
      </c>
      <c r="C75" s="843"/>
      <c r="D75" s="325">
        <v>11996</v>
      </c>
      <c r="E75" s="221"/>
      <c r="F75" s="326">
        <f>+D75+F73</f>
        <v>-35137</v>
      </c>
      <c r="G75" s="222"/>
      <c r="H75" s="222"/>
      <c r="I75" s="222"/>
      <c r="J75" s="222"/>
      <c r="K75" s="327"/>
    </row>
    <row r="76" spans="1:11" ht="43.9" customHeight="1">
      <c r="A76" s="844" t="s">
        <v>93</v>
      </c>
      <c r="B76" s="845"/>
      <c r="C76" s="845"/>
      <c r="D76" s="845"/>
      <c r="E76" s="845"/>
      <c r="F76" s="845"/>
      <c r="G76" s="845"/>
      <c r="H76" s="845"/>
      <c r="I76" s="845"/>
      <c r="J76" s="845"/>
      <c r="K76" s="857"/>
    </row>
    <row r="77" spans="1:11" ht="19.5" customHeight="1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9.5" customHeight="1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9.5" customHeight="1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9.5" customHeight="1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9.5" customHeight="1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9.5" customHeight="1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9.5" customHeight="1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9.5" customHeight="1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9.5" customHeight="1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9.5" customHeight="1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9.5" customHeight="1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9.5" customHeight="1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9.5" customHeight="1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9.5" customHeight="1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9.5" customHeight="1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9.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9.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</row>
  </sheetData>
  <mergeCells count="6">
    <mergeCell ref="A76:K76"/>
    <mergeCell ref="B46:D46"/>
    <mergeCell ref="B47:D47"/>
    <mergeCell ref="B48:D48"/>
    <mergeCell ref="B49:D49"/>
    <mergeCell ref="B75:C7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9"/>
  <sheetViews>
    <sheetView tabSelected="1" topLeftCell="A54" workbookViewId="0">
      <selection activeCell="N78" sqref="N78"/>
    </sheetView>
  </sheetViews>
  <sheetFormatPr baseColWidth="10" defaultColWidth="12.625" defaultRowHeight="14.25"/>
  <cols>
    <col min="1" max="1" width="21.375" style="278" customWidth="1"/>
    <col min="2" max="2" width="14.125" style="278" customWidth="1"/>
    <col min="3" max="3" width="12" style="278" customWidth="1"/>
    <col min="4" max="4" width="13.75" style="278" customWidth="1"/>
    <col min="5" max="5" width="0.25" style="278" customWidth="1"/>
    <col min="6" max="6" width="0.375" style="278" customWidth="1"/>
    <col min="7" max="7" width="11.125" style="278" customWidth="1"/>
    <col min="8" max="8" width="10" style="278" customWidth="1"/>
    <col min="9" max="9" width="10.5" style="278" customWidth="1"/>
    <col min="10" max="10" width="11.125" style="278" customWidth="1"/>
    <col min="11" max="11" width="11" style="278" customWidth="1"/>
    <col min="12" max="12" width="10" style="278" customWidth="1"/>
    <col min="13" max="16384" width="12.625" style="278"/>
  </cols>
  <sheetData>
    <row r="1" spans="1:13" ht="13.5" customHeight="1">
      <c r="A1" s="137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9.5" hidden="1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9.5" hidden="1" customHeight="1">
      <c r="A3" s="138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9.5" hidden="1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9.5" hidden="1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9.5" hidden="1" customHeight="1">
      <c r="A6" s="223" t="s">
        <v>99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</row>
    <row r="7" spans="1:13" ht="42" customHeight="1">
      <c r="A7" s="280" t="s">
        <v>99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</row>
    <row r="8" spans="1:13" ht="19.5" customHeight="1" thickBot="1">
      <c r="A8" s="282"/>
      <c r="B8" s="227" t="s">
        <v>103</v>
      </c>
      <c r="C8" s="1"/>
      <c r="D8" s="1"/>
      <c r="E8" s="1"/>
      <c r="F8" s="4"/>
      <c r="G8" s="4"/>
      <c r="H8" s="4"/>
      <c r="I8" s="4"/>
      <c r="J8" s="4"/>
      <c r="K8" s="4"/>
      <c r="L8" s="4"/>
    </row>
    <row r="9" spans="1:13" ht="53.25" customHeight="1" thickBot="1">
      <c r="A9" s="283" t="s">
        <v>100</v>
      </c>
      <c r="B9" s="140"/>
      <c r="C9" s="140"/>
      <c r="D9" s="140"/>
      <c r="E9" s="154" t="s">
        <v>70</v>
      </c>
      <c r="F9" s="233"/>
      <c r="G9" s="233">
        <v>2022</v>
      </c>
      <c r="H9" s="284" t="s">
        <v>133</v>
      </c>
      <c r="I9" s="285" t="s">
        <v>134</v>
      </c>
      <c r="J9" s="285" t="s">
        <v>135</v>
      </c>
      <c r="K9" s="285" t="s">
        <v>136</v>
      </c>
      <c r="L9" s="233" t="s">
        <v>137</v>
      </c>
    </row>
    <row r="10" spans="1:13" ht="19.5" customHeight="1">
      <c r="A10" s="286" t="s">
        <v>6</v>
      </c>
      <c r="B10" s="214"/>
      <c r="C10" s="129"/>
      <c r="D10" s="287"/>
      <c r="E10" s="141"/>
      <c r="F10" s="15"/>
      <c r="G10" s="15"/>
      <c r="H10" s="15"/>
      <c r="I10" s="15"/>
      <c r="J10" s="15"/>
      <c r="K10" s="15"/>
      <c r="L10" s="15"/>
    </row>
    <row r="11" spans="1:13" ht="19.5" customHeight="1">
      <c r="A11" s="288" t="s">
        <v>7</v>
      </c>
      <c r="B11" s="149"/>
      <c r="C11" s="149"/>
      <c r="D11" s="149"/>
      <c r="E11" s="155"/>
      <c r="F11" s="23"/>
      <c r="G11" s="289">
        <v>0</v>
      </c>
      <c r="H11" s="23"/>
      <c r="I11" s="23"/>
      <c r="J11" s="23"/>
      <c r="K11" s="23"/>
      <c r="L11" s="289">
        <f>I11+J11+K11+H11</f>
        <v>0</v>
      </c>
    </row>
    <row r="12" spans="1:13" ht="19.5" customHeight="1">
      <c r="A12" s="290" t="s">
        <v>8</v>
      </c>
      <c r="B12" s="291" t="s">
        <v>9</v>
      </c>
      <c r="C12" s="149"/>
      <c r="D12" s="149"/>
      <c r="E12" s="155"/>
      <c r="F12" s="23"/>
      <c r="G12" s="289">
        <v>0</v>
      </c>
      <c r="H12" s="23"/>
      <c r="I12" s="23"/>
      <c r="J12" s="23"/>
      <c r="K12" s="23"/>
      <c r="L12" s="289">
        <f t="shared" ref="L12:L77" si="0">I12+J12+K12+H12</f>
        <v>0</v>
      </c>
    </row>
    <row r="13" spans="1:13" ht="19.5" customHeight="1">
      <c r="A13" s="288" t="s">
        <v>10</v>
      </c>
      <c r="B13" s="149"/>
      <c r="C13" s="149"/>
      <c r="D13" s="149"/>
      <c r="E13" s="155"/>
      <c r="F13" s="23"/>
      <c r="G13" s="289">
        <v>0</v>
      </c>
      <c r="H13" s="23"/>
      <c r="I13" s="23">
        <f>G13</f>
        <v>0</v>
      </c>
      <c r="J13" s="23"/>
      <c r="K13" s="23"/>
      <c r="L13" s="289">
        <f t="shared" si="0"/>
        <v>0</v>
      </c>
    </row>
    <row r="14" spans="1:13" ht="19.5" customHeight="1" thickBot="1">
      <c r="A14" s="25" t="s">
        <v>11</v>
      </c>
      <c r="B14" s="292" t="s">
        <v>287</v>
      </c>
      <c r="C14" s="142"/>
      <c r="D14" s="142"/>
      <c r="E14" s="155"/>
      <c r="F14" s="23"/>
      <c r="G14" s="289">
        <v>15000</v>
      </c>
      <c r="H14" s="23"/>
      <c r="I14" s="23">
        <f>G14</f>
        <v>15000</v>
      </c>
      <c r="J14" s="23"/>
      <c r="K14" s="23"/>
      <c r="L14" s="289">
        <f t="shared" si="0"/>
        <v>15000</v>
      </c>
      <c r="M14" s="302" t="s">
        <v>276</v>
      </c>
    </row>
    <row r="15" spans="1:13" ht="19.5" hidden="1" customHeight="1">
      <c r="A15" s="29" t="s">
        <v>13</v>
      </c>
      <c r="B15" s="142"/>
      <c r="C15" s="142"/>
      <c r="D15" s="142"/>
      <c r="E15" s="155"/>
      <c r="F15" s="23"/>
      <c r="G15" s="289" t="e">
        <f>SUM(#REF!)</f>
        <v>#REF!</v>
      </c>
      <c r="H15" s="23"/>
      <c r="I15" s="23"/>
      <c r="J15" s="23"/>
      <c r="K15" s="23"/>
      <c r="L15" s="289">
        <f t="shared" si="0"/>
        <v>0</v>
      </c>
    </row>
    <row r="16" spans="1:13" ht="19.5" customHeight="1" thickBot="1">
      <c r="A16" s="30" t="s">
        <v>14</v>
      </c>
      <c r="B16" s="293" t="s">
        <v>28</v>
      </c>
      <c r="C16" s="294"/>
      <c r="D16" s="295"/>
      <c r="E16" s="156"/>
      <c r="F16" s="23"/>
      <c r="G16" s="289">
        <f>SUM(G11:G14)</f>
        <v>15000</v>
      </c>
      <c r="H16" s="23"/>
      <c r="I16" s="23">
        <f>G16</f>
        <v>15000</v>
      </c>
      <c r="J16" s="23"/>
      <c r="K16" s="23"/>
      <c r="L16" s="289">
        <f t="shared" si="0"/>
        <v>15000</v>
      </c>
    </row>
    <row r="17" spans="1:13" ht="19.5" customHeight="1">
      <c r="A17" s="35" t="s">
        <v>15</v>
      </c>
      <c r="B17" s="296" t="s">
        <v>16</v>
      </c>
      <c r="C17" s="129"/>
      <c r="D17" s="129"/>
      <c r="E17" s="157"/>
      <c r="F17" s="23"/>
      <c r="G17" s="289">
        <v>0</v>
      </c>
      <c r="H17" s="23"/>
      <c r="I17" s="23"/>
      <c r="J17" s="23"/>
      <c r="K17" s="23"/>
      <c r="L17" s="289">
        <f t="shared" si="0"/>
        <v>0</v>
      </c>
    </row>
    <row r="18" spans="1:13" ht="19.5" customHeight="1">
      <c r="A18" s="297" t="s">
        <v>94</v>
      </c>
      <c r="B18" s="299" t="s">
        <v>107</v>
      </c>
      <c r="C18" s="228"/>
      <c r="D18" s="142"/>
      <c r="E18" s="155"/>
      <c r="F18" s="23"/>
      <c r="G18" s="289">
        <v>1500</v>
      </c>
      <c r="H18" s="23">
        <f>G18</f>
        <v>1500</v>
      </c>
      <c r="I18" s="23"/>
      <c r="J18" s="23"/>
      <c r="K18" s="23"/>
      <c r="L18" s="289">
        <f t="shared" si="0"/>
        <v>1500</v>
      </c>
    </row>
    <row r="19" spans="1:13" ht="19.5" customHeight="1">
      <c r="A19" s="297" t="s">
        <v>91</v>
      </c>
      <c r="B19" s="299" t="s">
        <v>108</v>
      </c>
      <c r="C19" s="228"/>
      <c r="D19" s="142"/>
      <c r="E19" s="155"/>
      <c r="F19" s="23"/>
      <c r="G19" s="289">
        <v>25000</v>
      </c>
      <c r="H19" s="23"/>
      <c r="I19" s="23">
        <f>G19</f>
        <v>25000</v>
      </c>
      <c r="J19" s="23"/>
      <c r="K19" s="23"/>
      <c r="L19" s="289">
        <f t="shared" si="0"/>
        <v>25000</v>
      </c>
    </row>
    <row r="20" spans="1:13" ht="19.5" customHeight="1">
      <c r="A20" s="297" t="s">
        <v>148</v>
      </c>
      <c r="B20" s="298" t="s">
        <v>277</v>
      </c>
      <c r="C20" s="228"/>
      <c r="D20" s="142"/>
      <c r="E20" s="155"/>
      <c r="F20" s="23"/>
      <c r="G20" s="289"/>
      <c r="H20" s="23"/>
      <c r="I20" s="23"/>
      <c r="J20" s="23"/>
      <c r="K20" s="23"/>
      <c r="L20" s="23"/>
    </row>
    <row r="21" spans="1:13" ht="19.5" customHeight="1">
      <c r="A21" s="297" t="s">
        <v>92</v>
      </c>
      <c r="B21" s="299" t="s">
        <v>78</v>
      </c>
      <c r="C21" s="228"/>
      <c r="D21" s="142"/>
      <c r="E21" s="155"/>
      <c r="F21" s="23"/>
      <c r="G21" s="289"/>
      <c r="H21" s="23"/>
      <c r="I21" s="23"/>
      <c r="J21" s="23"/>
      <c r="K21" s="23"/>
      <c r="L21" s="289"/>
    </row>
    <row r="22" spans="1:13" ht="19.5" customHeight="1">
      <c r="A22" s="297" t="s">
        <v>96</v>
      </c>
      <c r="B22" s="298" t="s">
        <v>278</v>
      </c>
      <c r="C22" s="228"/>
      <c r="D22" s="142"/>
      <c r="E22" s="155"/>
      <c r="F22" s="23"/>
      <c r="G22" s="289">
        <v>3000</v>
      </c>
      <c r="H22" s="23">
        <f>G22/2</f>
        <v>1500</v>
      </c>
      <c r="I22" s="23">
        <f>G22/2</f>
        <v>1500</v>
      </c>
      <c r="J22" s="23"/>
      <c r="K22" s="23"/>
      <c r="L22" s="289">
        <f t="shared" si="0"/>
        <v>3000</v>
      </c>
    </row>
    <row r="23" spans="1:13" ht="19.5" customHeight="1">
      <c r="A23" s="297" t="s">
        <v>97</v>
      </c>
      <c r="B23" s="298" t="s">
        <v>279</v>
      </c>
      <c r="C23" s="228"/>
      <c r="D23" s="142"/>
      <c r="E23" s="155"/>
      <c r="F23" s="23"/>
      <c r="G23" s="289">
        <v>2000</v>
      </c>
      <c r="H23" s="23">
        <f>G23/2</f>
        <v>1000</v>
      </c>
      <c r="I23" s="23">
        <f>G23/2</f>
        <v>1000</v>
      </c>
      <c r="J23" s="23"/>
      <c r="K23" s="23"/>
      <c r="L23" s="289">
        <f t="shared" si="0"/>
        <v>2000</v>
      </c>
    </row>
    <row r="24" spans="1:13" ht="19.5" customHeight="1">
      <c r="A24" s="187"/>
      <c r="B24" s="299"/>
      <c r="C24" s="228"/>
      <c r="D24" s="142"/>
      <c r="E24" s="155"/>
      <c r="F24" s="23"/>
      <c r="G24" s="289"/>
      <c r="H24" s="23"/>
      <c r="I24" s="23"/>
      <c r="J24" s="23"/>
      <c r="K24" s="23"/>
      <c r="L24" s="289"/>
    </row>
    <row r="25" spans="1:13" ht="19.5" hidden="1" customHeight="1">
      <c r="A25" s="290" t="s">
        <v>17</v>
      </c>
      <c r="B25" s="142"/>
      <c r="C25" s="142"/>
      <c r="D25" s="142"/>
      <c r="E25" s="155"/>
      <c r="F25" s="23"/>
      <c r="G25" s="289" t="e">
        <f>SUM(#REF!)</f>
        <v>#REF!</v>
      </c>
      <c r="H25" s="23"/>
      <c r="I25" s="23"/>
      <c r="J25" s="23"/>
      <c r="K25" s="23"/>
      <c r="L25" s="289">
        <f t="shared" si="0"/>
        <v>0</v>
      </c>
    </row>
    <row r="26" spans="1:13" ht="19.5" hidden="1" customHeight="1">
      <c r="A26" s="290" t="s">
        <v>19</v>
      </c>
      <c r="B26" s="142"/>
      <c r="C26" s="142"/>
      <c r="D26" s="142"/>
      <c r="E26" s="155"/>
      <c r="F26" s="23"/>
      <c r="G26" s="289" t="e">
        <f>SUM(#REF!)</f>
        <v>#REF!</v>
      </c>
      <c r="H26" s="23"/>
      <c r="I26" s="23"/>
      <c r="J26" s="23"/>
      <c r="K26" s="23"/>
      <c r="L26" s="289">
        <f t="shared" si="0"/>
        <v>0</v>
      </c>
    </row>
    <row r="27" spans="1:13" ht="19.5" hidden="1" customHeight="1">
      <c r="A27" s="290" t="s">
        <v>20</v>
      </c>
      <c r="B27" s="142"/>
      <c r="C27" s="142"/>
      <c r="D27" s="142"/>
      <c r="E27" s="155"/>
      <c r="F27" s="23"/>
      <c r="G27" s="289" t="e">
        <f>SUM(#REF!)</f>
        <v>#REF!</v>
      </c>
      <c r="H27" s="23"/>
      <c r="I27" s="23"/>
      <c r="J27" s="23"/>
      <c r="K27" s="23"/>
      <c r="L27" s="289">
        <f t="shared" si="0"/>
        <v>0</v>
      </c>
    </row>
    <row r="28" spans="1:13" ht="19.5" hidden="1" customHeight="1">
      <c r="A28" s="290" t="s">
        <v>21</v>
      </c>
      <c r="B28" s="142"/>
      <c r="C28" s="142"/>
      <c r="D28" s="142"/>
      <c r="E28" s="155"/>
      <c r="F28" s="23"/>
      <c r="G28" s="289" t="e">
        <f>SUM(#REF!)</f>
        <v>#REF!</v>
      </c>
      <c r="H28" s="23"/>
      <c r="I28" s="23"/>
      <c r="J28" s="23"/>
      <c r="K28" s="23"/>
      <c r="L28" s="289">
        <f t="shared" si="0"/>
        <v>0</v>
      </c>
    </row>
    <row r="29" spans="1:13" ht="19.5" hidden="1" customHeight="1">
      <c r="A29" s="290" t="s">
        <v>22</v>
      </c>
      <c r="B29" s="142"/>
      <c r="C29" s="142"/>
      <c r="D29" s="142"/>
      <c r="E29" s="155"/>
      <c r="F29" s="23"/>
      <c r="G29" s="289" t="e">
        <f>SUM(#REF!)</f>
        <v>#REF!</v>
      </c>
      <c r="H29" s="23"/>
      <c r="I29" s="23"/>
      <c r="J29" s="23"/>
      <c r="K29" s="23"/>
      <c r="L29" s="289">
        <f t="shared" si="0"/>
        <v>0</v>
      </c>
    </row>
    <row r="30" spans="1:13" ht="19.5" customHeight="1">
      <c r="A30" s="869" t="s">
        <v>23</v>
      </c>
      <c r="B30" s="876" t="s">
        <v>288</v>
      </c>
      <c r="C30" s="870"/>
      <c r="D30" s="870"/>
      <c r="E30" s="871"/>
      <c r="F30" s="872"/>
      <c r="G30" s="872">
        <v>7883</v>
      </c>
      <c r="H30" s="872"/>
      <c r="I30" s="872">
        <f>+G30</f>
        <v>7883</v>
      </c>
      <c r="J30" s="872"/>
      <c r="K30" s="872"/>
      <c r="L30" s="872">
        <f t="shared" si="0"/>
        <v>7883</v>
      </c>
      <c r="M30" s="278" t="s">
        <v>282</v>
      </c>
    </row>
    <row r="31" spans="1:13" ht="19.5" customHeight="1">
      <c r="A31" s="861" t="s">
        <v>23</v>
      </c>
      <c r="B31" s="862" t="s">
        <v>280</v>
      </c>
      <c r="C31" s="863"/>
      <c r="D31" s="863"/>
      <c r="E31" s="864"/>
      <c r="F31" s="865"/>
      <c r="G31" s="865">
        <v>12500</v>
      </c>
      <c r="H31" s="865"/>
      <c r="I31" s="865">
        <f>G31</f>
        <v>12500</v>
      </c>
      <c r="J31" s="865"/>
      <c r="K31" s="865"/>
      <c r="L31" s="865">
        <f t="shared" si="0"/>
        <v>12500</v>
      </c>
      <c r="M31" s="278" t="s">
        <v>283</v>
      </c>
    </row>
    <row r="32" spans="1:13" ht="19.5" customHeight="1">
      <c r="A32" s="873" t="s">
        <v>23</v>
      </c>
      <c r="B32" s="866" t="s">
        <v>281</v>
      </c>
      <c r="C32" s="867"/>
      <c r="D32" s="867"/>
      <c r="E32" s="868"/>
      <c r="F32" s="860"/>
      <c r="G32" s="860">
        <v>3000</v>
      </c>
      <c r="H32" s="860"/>
      <c r="I32" s="860">
        <f>G32</f>
        <v>3000</v>
      </c>
      <c r="J32" s="860"/>
      <c r="K32" s="860"/>
      <c r="L32" s="860">
        <f>G32</f>
        <v>3000</v>
      </c>
      <c r="M32" s="278" t="s">
        <v>284</v>
      </c>
    </row>
    <row r="33" spans="1:12" ht="19.5" customHeight="1">
      <c r="A33" s="875" t="s">
        <v>285</v>
      </c>
      <c r="B33" s="875" t="s">
        <v>286</v>
      </c>
      <c r="C33" s="874"/>
      <c r="D33" s="874"/>
      <c r="E33" s="868"/>
      <c r="F33" s="860"/>
      <c r="G33" s="860">
        <v>50000</v>
      </c>
      <c r="H33" s="860"/>
      <c r="I33" s="860">
        <f>G33</f>
        <v>50000</v>
      </c>
      <c r="J33" s="860"/>
      <c r="K33" s="860"/>
      <c r="L33" s="860">
        <f>G33</f>
        <v>50000</v>
      </c>
    </row>
    <row r="34" spans="1:12" ht="19.5" customHeight="1">
      <c r="A34" s="199" t="s">
        <v>150</v>
      </c>
      <c r="B34" s="200" t="s">
        <v>151</v>
      </c>
      <c r="C34" s="194"/>
      <c r="D34" s="195"/>
      <c r="E34" s="162"/>
      <c r="F34" s="23"/>
      <c r="G34" s="289">
        <v>6000</v>
      </c>
      <c r="H34" s="23">
        <v>1000</v>
      </c>
      <c r="I34" s="23">
        <v>2500</v>
      </c>
      <c r="J34" s="23">
        <v>2500</v>
      </c>
      <c r="K34" s="23"/>
      <c r="L34" s="289">
        <f t="shared" ref="L34" si="1">I34+J34+K34+H34</f>
        <v>6000</v>
      </c>
    </row>
    <row r="35" spans="1:12" ht="19.5" customHeight="1">
      <c r="A35" s="191" t="s">
        <v>25</v>
      </c>
      <c r="B35" s="307" t="s">
        <v>27</v>
      </c>
      <c r="C35" s="217"/>
      <c r="D35" s="308"/>
      <c r="E35" s="162"/>
      <c r="F35" s="23"/>
      <c r="G35" s="289">
        <v>7000</v>
      </c>
      <c r="H35" s="23">
        <v>1700</v>
      </c>
      <c r="I35" s="23">
        <v>2800</v>
      </c>
      <c r="J35" s="23">
        <v>2500</v>
      </c>
      <c r="K35" s="23"/>
      <c r="L35" s="289">
        <f t="shared" si="0"/>
        <v>7000</v>
      </c>
    </row>
    <row r="36" spans="1:12" ht="19.5" customHeight="1" thickBot="1">
      <c r="A36" s="199"/>
      <c r="B36" s="200"/>
      <c r="C36" s="194"/>
      <c r="D36" s="195"/>
      <c r="E36" s="162"/>
      <c r="F36" s="23"/>
      <c r="G36" s="289"/>
      <c r="H36" s="23"/>
      <c r="I36" s="23"/>
      <c r="J36" s="23"/>
      <c r="K36" s="23"/>
      <c r="L36" s="289"/>
    </row>
    <row r="37" spans="1:12" ht="19.5" customHeight="1" thickBot="1">
      <c r="A37" s="30"/>
      <c r="B37" s="293" t="s">
        <v>28</v>
      </c>
      <c r="C37" s="294"/>
      <c r="D37" s="150"/>
      <c r="E37" s="161"/>
      <c r="F37" s="23"/>
      <c r="G37" s="289"/>
      <c r="H37" s="23"/>
      <c r="I37" s="23"/>
      <c r="J37" s="23"/>
      <c r="K37" s="23"/>
      <c r="L37" s="289"/>
    </row>
    <row r="38" spans="1:12" ht="19.5" customHeight="1" thickBot="1">
      <c r="A38" s="53" t="s">
        <v>139</v>
      </c>
      <c r="B38" s="309" t="s">
        <v>28</v>
      </c>
      <c r="C38" s="310"/>
      <c r="D38" s="148"/>
      <c r="E38" s="143"/>
      <c r="F38" s="201"/>
      <c r="G38" s="311">
        <f>G36+G35+G34+G31+G32+G30+G24+G23+G22+G21+G20+G18+G19+G33</f>
        <v>117883</v>
      </c>
      <c r="H38" s="311">
        <f t="shared" ref="H38:L38" si="2">H36+H35+H34+H31+H32+H30+H24+H23+H22+H21+H20+H18+H19+H33</f>
        <v>6700</v>
      </c>
      <c r="I38" s="311">
        <f t="shared" si="2"/>
        <v>106183</v>
      </c>
      <c r="J38" s="311">
        <f t="shared" si="2"/>
        <v>5000</v>
      </c>
      <c r="K38" s="311">
        <f t="shared" si="2"/>
        <v>0</v>
      </c>
      <c r="L38" s="311">
        <f>L36+L35+L34+L31+L32+L30+L24+L23+L22+L21+L20+L18+L19+L33</f>
        <v>117883</v>
      </c>
    </row>
    <row r="39" spans="1:12" ht="12" customHeight="1" thickBot="1">
      <c r="A39" s="3"/>
      <c r="B39" s="1"/>
      <c r="C39" s="1"/>
      <c r="D39" s="1"/>
      <c r="E39" s="1"/>
      <c r="F39" s="22"/>
      <c r="G39" s="289"/>
      <c r="H39" s="23"/>
      <c r="I39" s="23"/>
      <c r="J39" s="23"/>
      <c r="K39" s="23"/>
      <c r="L39" s="289">
        <f t="shared" si="0"/>
        <v>0</v>
      </c>
    </row>
    <row r="40" spans="1:12" ht="19.5" customHeight="1" thickBot="1">
      <c r="A40" s="5" t="s">
        <v>101</v>
      </c>
      <c r="B40" s="140"/>
      <c r="C40" s="140"/>
      <c r="D40" s="140"/>
      <c r="E40" s="154" t="s">
        <v>71</v>
      </c>
      <c r="F40" s="22"/>
      <c r="G40" s="289"/>
      <c r="H40" s="23"/>
      <c r="I40" s="23"/>
      <c r="J40" s="23"/>
      <c r="K40" s="23"/>
      <c r="L40" s="289">
        <f t="shared" si="0"/>
        <v>0</v>
      </c>
    </row>
    <row r="41" spans="1:12" ht="19.5" customHeight="1">
      <c r="A41" s="290" t="s">
        <v>30</v>
      </c>
      <c r="B41" s="296"/>
      <c r="C41" s="129"/>
      <c r="D41" s="142"/>
      <c r="E41" s="155"/>
      <c r="F41" s="23"/>
      <c r="G41" s="289"/>
      <c r="H41" s="23"/>
      <c r="I41" s="23"/>
      <c r="J41" s="23"/>
      <c r="K41" s="23"/>
      <c r="L41" s="289">
        <f t="shared" si="0"/>
        <v>0</v>
      </c>
    </row>
    <row r="42" spans="1:12" ht="19.5" customHeight="1" thickBot="1">
      <c r="A42" s="330" t="s">
        <v>152</v>
      </c>
      <c r="B42" s="151"/>
      <c r="C42" s="151"/>
      <c r="D42" s="149"/>
      <c r="E42" s="155"/>
      <c r="F42" s="23"/>
      <c r="G42" s="289">
        <v>3000</v>
      </c>
      <c r="H42" s="23"/>
      <c r="I42" s="23">
        <f>G42</f>
        <v>3000</v>
      </c>
      <c r="J42" s="23"/>
      <c r="K42" s="23"/>
      <c r="L42" s="289">
        <f t="shared" si="0"/>
        <v>3000</v>
      </c>
    </row>
    <row r="43" spans="1:12" ht="19.5" hidden="1" customHeight="1">
      <c r="A43" s="29" t="s">
        <v>32</v>
      </c>
      <c r="B43" s="151"/>
      <c r="C43" s="151"/>
      <c r="D43" s="151"/>
      <c r="E43" s="157"/>
      <c r="F43" s="23"/>
      <c r="G43" s="289" t="e">
        <f>SUM(#REF!)</f>
        <v>#REF!</v>
      </c>
      <c r="H43" s="23"/>
      <c r="I43" s="23"/>
      <c r="J43" s="23"/>
      <c r="K43" s="23"/>
      <c r="L43" s="289">
        <f t="shared" si="0"/>
        <v>0</v>
      </c>
    </row>
    <row r="44" spans="1:12" ht="19.5" customHeight="1" thickBot="1">
      <c r="A44" s="30" t="s">
        <v>14</v>
      </c>
      <c r="B44" s="293" t="s">
        <v>28</v>
      </c>
      <c r="C44" s="294"/>
      <c r="D44" s="150"/>
      <c r="E44" s="161"/>
      <c r="F44" s="23"/>
      <c r="G44" s="289"/>
      <c r="H44" s="23"/>
      <c r="I44" s="23"/>
      <c r="J44" s="23"/>
      <c r="K44" s="23"/>
      <c r="L44" s="289"/>
    </row>
    <row r="45" spans="1:12" ht="19.5" customHeight="1">
      <c r="A45" s="29" t="s">
        <v>33</v>
      </c>
      <c r="B45" s="313" t="s">
        <v>28</v>
      </c>
      <c r="C45" s="129"/>
      <c r="D45" s="129"/>
      <c r="E45" s="157"/>
      <c r="F45" s="23"/>
      <c r="G45" s="289"/>
      <c r="H45" s="23"/>
      <c r="I45" s="23"/>
      <c r="J45" s="23"/>
      <c r="K45" s="23"/>
      <c r="L45" s="289"/>
    </row>
    <row r="46" spans="1:12" ht="30" customHeight="1">
      <c r="A46" s="314"/>
      <c r="B46" s="315"/>
      <c r="C46" s="153"/>
      <c r="D46" s="153"/>
      <c r="E46" s="163"/>
      <c r="F46" s="23"/>
      <c r="G46" s="289"/>
      <c r="H46" s="23"/>
      <c r="I46" s="23"/>
      <c r="J46" s="23"/>
      <c r="K46" s="23"/>
      <c r="L46" s="289"/>
    </row>
    <row r="47" spans="1:12" ht="39" customHeight="1">
      <c r="A47" s="202" t="s">
        <v>35</v>
      </c>
      <c r="B47" s="858" t="s">
        <v>289</v>
      </c>
      <c r="C47" s="849"/>
      <c r="D47" s="849"/>
      <c r="E47" s="164"/>
      <c r="F47" s="23"/>
      <c r="G47" s="289"/>
      <c r="H47" s="23"/>
      <c r="I47" s="23"/>
      <c r="J47" s="23"/>
      <c r="K47" s="23"/>
      <c r="L47" s="289"/>
    </row>
    <row r="48" spans="1:12" ht="39" customHeight="1">
      <c r="A48" s="202"/>
      <c r="B48" s="858"/>
      <c r="C48" s="849"/>
      <c r="D48" s="849"/>
      <c r="E48" s="164"/>
      <c r="F48" s="23"/>
      <c r="G48" s="289"/>
      <c r="H48" s="23"/>
      <c r="I48" s="23"/>
      <c r="J48" s="23"/>
      <c r="K48" s="23"/>
      <c r="L48" s="289"/>
    </row>
    <row r="49" spans="1:12" ht="46.9" customHeight="1">
      <c r="A49" s="203" t="s">
        <v>37</v>
      </c>
      <c r="B49" s="841" t="s">
        <v>86</v>
      </c>
      <c r="C49" s="849"/>
      <c r="D49" s="849"/>
      <c r="E49" s="164"/>
      <c r="F49" s="23"/>
      <c r="G49" s="289">
        <v>24000</v>
      </c>
      <c r="H49" s="23">
        <v>4000</v>
      </c>
      <c r="I49" s="23">
        <v>20000</v>
      </c>
      <c r="J49" s="23"/>
      <c r="K49" s="23"/>
      <c r="L49" s="289">
        <f t="shared" si="0"/>
        <v>24000</v>
      </c>
    </row>
    <row r="50" spans="1:12" ht="26.25" customHeight="1">
      <c r="A50" s="204"/>
      <c r="B50" s="841"/>
      <c r="C50" s="841"/>
      <c r="D50" s="859"/>
      <c r="E50" s="164"/>
      <c r="F50" s="23"/>
      <c r="G50" s="289"/>
      <c r="H50" s="23"/>
      <c r="I50" s="23"/>
      <c r="J50" s="23"/>
      <c r="K50" s="23"/>
      <c r="L50" s="289"/>
    </row>
    <row r="51" spans="1:12" ht="28.5" customHeight="1">
      <c r="A51" s="204"/>
      <c r="B51" s="841"/>
      <c r="C51" s="841"/>
      <c r="D51" s="859"/>
      <c r="E51" s="164"/>
      <c r="F51" s="23"/>
      <c r="G51" s="289"/>
      <c r="H51" s="23"/>
      <c r="I51" s="23"/>
      <c r="J51" s="23"/>
      <c r="K51" s="23"/>
      <c r="L51" s="289"/>
    </row>
    <row r="52" spans="1:12" ht="19.5" customHeight="1">
      <c r="A52" s="316" t="s">
        <v>155</v>
      </c>
      <c r="B52" s="300" t="s">
        <v>156</v>
      </c>
      <c r="C52" s="206"/>
      <c r="D52" s="206"/>
      <c r="E52" s="157"/>
      <c r="F52" s="23"/>
      <c r="G52" s="289">
        <v>2000</v>
      </c>
      <c r="H52" s="23"/>
      <c r="I52" s="23">
        <f>G52</f>
        <v>2000</v>
      </c>
      <c r="J52" s="23"/>
      <c r="K52" s="23"/>
      <c r="L52" s="289">
        <f t="shared" si="0"/>
        <v>2000</v>
      </c>
    </row>
    <row r="53" spans="1:12" ht="19.5" customHeight="1">
      <c r="A53" s="319" t="s">
        <v>87</v>
      </c>
      <c r="B53" s="318" t="s">
        <v>290</v>
      </c>
      <c r="C53" s="208"/>
      <c r="D53" s="208"/>
      <c r="E53" s="159"/>
      <c r="F53" s="23"/>
      <c r="G53" s="289">
        <v>8000</v>
      </c>
      <c r="H53" s="23">
        <v>2000</v>
      </c>
      <c r="I53" s="23">
        <v>6000</v>
      </c>
      <c r="J53" s="23"/>
      <c r="K53" s="23"/>
      <c r="L53" s="289">
        <f t="shared" si="0"/>
        <v>8000</v>
      </c>
    </row>
    <row r="54" spans="1:12" ht="19.5" customHeight="1">
      <c r="A54" s="319"/>
      <c r="B54" s="231"/>
      <c r="C54" s="212"/>
      <c r="D54" s="212"/>
      <c r="E54" s="159"/>
      <c r="F54" s="23"/>
      <c r="G54" s="289"/>
      <c r="H54" s="23"/>
      <c r="I54" s="23"/>
      <c r="J54" s="23"/>
      <c r="K54" s="23"/>
      <c r="L54" s="289"/>
    </row>
    <row r="55" spans="1:12" ht="19.5" customHeight="1">
      <c r="A55" s="319" t="s">
        <v>87</v>
      </c>
      <c r="B55" s="231" t="s">
        <v>291</v>
      </c>
      <c r="C55" s="212"/>
      <c r="D55" s="212"/>
      <c r="E55" s="160"/>
      <c r="F55" s="23"/>
      <c r="G55" s="289">
        <v>9000</v>
      </c>
      <c r="H55" s="23">
        <v>1500</v>
      </c>
      <c r="I55" s="23">
        <v>7500</v>
      </c>
      <c r="J55" s="23"/>
      <c r="K55" s="23"/>
      <c r="L55" s="289">
        <f t="shared" si="0"/>
        <v>9000</v>
      </c>
    </row>
    <row r="56" spans="1:12" ht="19.5" hidden="1" customHeight="1">
      <c r="A56" s="29" t="s">
        <v>39</v>
      </c>
      <c r="B56" s="231" t="s">
        <v>159</v>
      </c>
      <c r="C56" s="212"/>
      <c r="D56" s="212"/>
      <c r="E56" s="157"/>
      <c r="F56" s="23"/>
      <c r="G56" s="289" t="e">
        <f>SUM(#REF!)</f>
        <v>#REF!</v>
      </c>
      <c r="H56" s="23"/>
      <c r="I56" s="23"/>
      <c r="J56" s="23"/>
      <c r="K56" s="23"/>
      <c r="L56" s="289">
        <f t="shared" si="0"/>
        <v>0</v>
      </c>
    </row>
    <row r="57" spans="1:12" ht="19.5" hidden="1" customHeight="1">
      <c r="A57" s="29" t="s">
        <v>41</v>
      </c>
      <c r="B57" s="231" t="s">
        <v>159</v>
      </c>
      <c r="C57" s="212"/>
      <c r="D57" s="212"/>
      <c r="E57" s="157"/>
      <c r="F57" s="23"/>
      <c r="G57" s="289" t="e">
        <f>SUM(#REF!)</f>
        <v>#REF!</v>
      </c>
      <c r="H57" s="23"/>
      <c r="I57" s="23"/>
      <c r="J57" s="23"/>
      <c r="K57" s="23"/>
      <c r="L57" s="289">
        <f t="shared" si="0"/>
        <v>0</v>
      </c>
    </row>
    <row r="58" spans="1:12" ht="19.5" hidden="1" customHeight="1">
      <c r="A58" s="29" t="s">
        <v>42</v>
      </c>
      <c r="B58" s="231" t="s">
        <v>159</v>
      </c>
      <c r="C58" s="212"/>
      <c r="D58" s="212"/>
      <c r="E58" s="157"/>
      <c r="F58" s="23"/>
      <c r="G58" s="289" t="e">
        <f>SUM(#REF!)</f>
        <v>#REF!</v>
      </c>
      <c r="H58" s="23"/>
      <c r="I58" s="23"/>
      <c r="J58" s="23"/>
      <c r="K58" s="23"/>
      <c r="L58" s="289">
        <f t="shared" si="0"/>
        <v>0</v>
      </c>
    </row>
    <row r="59" spans="1:12" ht="19.5" hidden="1" customHeight="1">
      <c r="A59" s="29" t="s">
        <v>43</v>
      </c>
      <c r="B59" s="231" t="s">
        <v>159</v>
      </c>
      <c r="C59" s="212"/>
      <c r="D59" s="212"/>
      <c r="E59" s="157"/>
      <c r="F59" s="23"/>
      <c r="G59" s="289" t="e">
        <f>SUM(#REF!)</f>
        <v>#REF!</v>
      </c>
      <c r="H59" s="23"/>
      <c r="I59" s="23"/>
      <c r="J59" s="23"/>
      <c r="K59" s="23"/>
      <c r="L59" s="289">
        <f t="shared" si="0"/>
        <v>0</v>
      </c>
    </row>
    <row r="60" spans="1:12" ht="19.5" hidden="1" customHeight="1">
      <c r="A60" s="29" t="s">
        <v>44</v>
      </c>
      <c r="B60" s="231" t="s">
        <v>159</v>
      </c>
      <c r="C60" s="212"/>
      <c r="D60" s="212"/>
      <c r="E60" s="157"/>
      <c r="F60" s="23"/>
      <c r="G60" s="289" t="e">
        <f>SUM(#REF!)</f>
        <v>#REF!</v>
      </c>
      <c r="H60" s="23"/>
      <c r="I60" s="23"/>
      <c r="J60" s="23"/>
      <c r="K60" s="23"/>
      <c r="L60" s="289">
        <f t="shared" si="0"/>
        <v>0</v>
      </c>
    </row>
    <row r="61" spans="1:12" ht="19.5" hidden="1" customHeight="1">
      <c r="A61" s="29" t="s">
        <v>45</v>
      </c>
      <c r="B61" s="231" t="s">
        <v>159</v>
      </c>
      <c r="C61" s="212"/>
      <c r="D61" s="212"/>
      <c r="E61" s="157"/>
      <c r="F61" s="23"/>
      <c r="G61" s="289" t="e">
        <f>SUM(#REF!)</f>
        <v>#REF!</v>
      </c>
      <c r="H61" s="23"/>
      <c r="I61" s="23"/>
      <c r="J61" s="23"/>
      <c r="K61" s="23"/>
      <c r="L61" s="289">
        <f t="shared" si="0"/>
        <v>0</v>
      </c>
    </row>
    <row r="62" spans="1:12" ht="19.5" hidden="1" customHeight="1">
      <c r="A62" s="29" t="s">
        <v>46</v>
      </c>
      <c r="B62" s="231" t="s">
        <v>159</v>
      </c>
      <c r="C62" s="212"/>
      <c r="D62" s="212"/>
      <c r="E62" s="157"/>
      <c r="F62" s="23"/>
      <c r="G62" s="289" t="e">
        <f>SUM(#REF!)</f>
        <v>#REF!</v>
      </c>
      <c r="H62" s="23"/>
      <c r="I62" s="23"/>
      <c r="J62" s="23"/>
      <c r="K62" s="23"/>
      <c r="L62" s="289">
        <f t="shared" si="0"/>
        <v>0</v>
      </c>
    </row>
    <row r="63" spans="1:12" ht="19.5" hidden="1" customHeight="1">
      <c r="A63" s="29" t="s">
        <v>47</v>
      </c>
      <c r="B63" s="231" t="s">
        <v>159</v>
      </c>
      <c r="C63" s="212"/>
      <c r="D63" s="212"/>
      <c r="E63" s="157"/>
      <c r="F63" s="23"/>
      <c r="G63" s="289" t="e">
        <f>SUM(#REF!)</f>
        <v>#REF!</v>
      </c>
      <c r="H63" s="23"/>
      <c r="I63" s="23"/>
      <c r="J63" s="23"/>
      <c r="K63" s="23"/>
      <c r="L63" s="289">
        <f t="shared" si="0"/>
        <v>0</v>
      </c>
    </row>
    <row r="64" spans="1:12" ht="19.5" hidden="1" customHeight="1">
      <c r="A64" s="29" t="s">
        <v>48</v>
      </c>
      <c r="B64" s="231" t="s">
        <v>159</v>
      </c>
      <c r="C64" s="212"/>
      <c r="D64" s="212"/>
      <c r="E64" s="157"/>
      <c r="F64" s="23"/>
      <c r="G64" s="289" t="e">
        <f>SUM(#REF!)</f>
        <v>#REF!</v>
      </c>
      <c r="H64" s="23"/>
      <c r="I64" s="23"/>
      <c r="J64" s="23"/>
      <c r="K64" s="23"/>
      <c r="L64" s="289">
        <f t="shared" si="0"/>
        <v>0</v>
      </c>
    </row>
    <row r="65" spans="1:12" ht="19.5" hidden="1" customHeight="1">
      <c r="A65" s="29" t="s">
        <v>49</v>
      </c>
      <c r="B65" s="231" t="s">
        <v>159</v>
      </c>
      <c r="C65" s="212"/>
      <c r="D65" s="212"/>
      <c r="E65" s="157"/>
      <c r="F65" s="23"/>
      <c r="G65" s="289" t="e">
        <f>SUM(#REF!)</f>
        <v>#REF!</v>
      </c>
      <c r="H65" s="23"/>
      <c r="I65" s="23"/>
      <c r="J65" s="23"/>
      <c r="K65" s="23"/>
      <c r="L65" s="289">
        <f t="shared" si="0"/>
        <v>0</v>
      </c>
    </row>
    <row r="66" spans="1:12" ht="19.5" hidden="1" customHeight="1">
      <c r="A66" s="29" t="s">
        <v>50</v>
      </c>
      <c r="B66" s="231" t="s">
        <v>159</v>
      </c>
      <c r="C66" s="212"/>
      <c r="D66" s="212"/>
      <c r="E66" s="157"/>
      <c r="F66" s="23"/>
      <c r="G66" s="289" t="e">
        <f>SUM(#REF!)</f>
        <v>#REF!</v>
      </c>
      <c r="H66" s="23"/>
      <c r="I66" s="23"/>
      <c r="J66" s="23"/>
      <c r="K66" s="23"/>
      <c r="L66" s="289">
        <f t="shared" si="0"/>
        <v>0</v>
      </c>
    </row>
    <row r="67" spans="1:12" ht="19.5" customHeight="1">
      <c r="A67" s="321" t="s">
        <v>38</v>
      </c>
      <c r="B67" s="231" t="s">
        <v>292</v>
      </c>
      <c r="C67" s="212"/>
      <c r="D67" s="212"/>
      <c r="E67" s="157"/>
      <c r="F67" s="23"/>
      <c r="G67" s="289">
        <v>16935</v>
      </c>
      <c r="H67" s="23">
        <f>G67/3</f>
        <v>5645</v>
      </c>
      <c r="I67" s="23">
        <f>G67/3</f>
        <v>5645</v>
      </c>
      <c r="J67" s="23">
        <f>G67/3</f>
        <v>5645</v>
      </c>
      <c r="K67" s="23"/>
      <c r="L67" s="289">
        <f t="shared" si="0"/>
        <v>16935</v>
      </c>
    </row>
    <row r="68" spans="1:12" ht="19.5" customHeight="1">
      <c r="A68" s="319" t="s">
        <v>87</v>
      </c>
      <c r="B68" s="231" t="s">
        <v>40</v>
      </c>
      <c r="C68" s="212"/>
      <c r="D68" s="212"/>
      <c r="E68" s="160"/>
      <c r="F68" s="23"/>
      <c r="G68" s="289">
        <v>3000</v>
      </c>
      <c r="H68" s="23">
        <v>1000</v>
      </c>
      <c r="I68" s="23">
        <v>1000</v>
      </c>
      <c r="J68" s="23">
        <v>1000</v>
      </c>
      <c r="K68" s="23"/>
      <c r="L68" s="289">
        <f t="shared" si="0"/>
        <v>3000</v>
      </c>
    </row>
    <row r="69" spans="1:12" ht="19.5" customHeight="1">
      <c r="A69" s="321" t="s">
        <v>38</v>
      </c>
      <c r="B69" s="322" t="s">
        <v>66</v>
      </c>
      <c r="C69" s="217"/>
      <c r="D69" s="217"/>
      <c r="E69" s="162"/>
      <c r="F69" s="23"/>
      <c r="G69" s="289">
        <v>18000</v>
      </c>
      <c r="H69" s="23">
        <f>G69/3</f>
        <v>6000</v>
      </c>
      <c r="I69" s="23">
        <f>G69/3</f>
        <v>6000</v>
      </c>
      <c r="J69" s="23">
        <f>G69/3</f>
        <v>6000</v>
      </c>
      <c r="K69" s="23"/>
      <c r="L69" s="289">
        <f t="shared" si="0"/>
        <v>18000</v>
      </c>
    </row>
    <row r="70" spans="1:12" ht="19.5" customHeight="1">
      <c r="A70" s="321" t="s">
        <v>51</v>
      </c>
      <c r="B70" s="307" t="s">
        <v>52</v>
      </c>
      <c r="C70" s="217"/>
      <c r="D70" s="217"/>
      <c r="E70" s="162"/>
      <c r="F70" s="23"/>
      <c r="G70" s="289">
        <v>5500</v>
      </c>
      <c r="H70" s="23">
        <f>G70/3</f>
        <v>1833.3333333333333</v>
      </c>
      <c r="I70" s="23">
        <f>G70/3</f>
        <v>1833.3333333333333</v>
      </c>
      <c r="J70" s="23">
        <f>G70/3</f>
        <v>1833.3333333333333</v>
      </c>
      <c r="K70" s="23"/>
      <c r="L70" s="289">
        <f t="shared" si="0"/>
        <v>5500</v>
      </c>
    </row>
    <row r="71" spans="1:12" ht="19.5" customHeight="1">
      <c r="A71" s="321" t="s">
        <v>38</v>
      </c>
      <c r="B71" s="322" t="s">
        <v>161</v>
      </c>
      <c r="C71" s="217"/>
      <c r="D71" s="217"/>
      <c r="E71" s="162"/>
      <c r="F71" s="23"/>
      <c r="G71" s="289">
        <v>30000</v>
      </c>
      <c r="H71" s="23"/>
      <c r="I71" s="23">
        <v>15000</v>
      </c>
      <c r="J71" s="23">
        <v>15000</v>
      </c>
      <c r="K71" s="23"/>
      <c r="L71" s="289">
        <f t="shared" si="0"/>
        <v>30000</v>
      </c>
    </row>
    <row r="72" spans="1:12" ht="19.5" customHeight="1">
      <c r="A72" s="321" t="s">
        <v>51</v>
      </c>
      <c r="B72" s="307" t="s">
        <v>162</v>
      </c>
      <c r="C72" s="217"/>
      <c r="D72" s="217"/>
      <c r="E72" s="162"/>
      <c r="F72" s="23"/>
      <c r="G72" s="289">
        <v>13500</v>
      </c>
      <c r="H72" s="23"/>
      <c r="I72" s="23">
        <v>6750</v>
      </c>
      <c r="J72" s="23">
        <v>6750</v>
      </c>
      <c r="K72" s="23"/>
      <c r="L72" s="289">
        <f t="shared" si="0"/>
        <v>13500</v>
      </c>
    </row>
    <row r="73" spans="1:12" ht="19.5" customHeight="1" thickBot="1">
      <c r="A73" s="29" t="s">
        <v>54</v>
      </c>
      <c r="B73" s="323" t="s">
        <v>72</v>
      </c>
      <c r="C73" s="129"/>
      <c r="D73" s="129"/>
      <c r="E73" s="157"/>
      <c r="F73" s="23"/>
      <c r="G73" s="289"/>
      <c r="H73" s="23"/>
      <c r="I73" s="23"/>
      <c r="J73" s="23"/>
      <c r="K73" s="23"/>
      <c r="L73" s="289"/>
    </row>
    <row r="74" spans="1:12" ht="19.5" customHeight="1" thickBot="1">
      <c r="A74" s="30"/>
      <c r="B74" s="293" t="s">
        <v>28</v>
      </c>
      <c r="C74" s="324"/>
      <c r="D74" s="147"/>
      <c r="E74" s="165"/>
      <c r="F74" s="23"/>
      <c r="G74" s="289"/>
      <c r="H74" s="23"/>
      <c r="I74" s="23"/>
      <c r="J74" s="23"/>
      <c r="K74" s="23"/>
      <c r="L74" s="289"/>
    </row>
    <row r="75" spans="1:12" ht="19.5" customHeight="1" thickBot="1">
      <c r="A75" s="53" t="s">
        <v>102</v>
      </c>
      <c r="B75" s="310"/>
      <c r="C75" s="310"/>
      <c r="D75" s="148"/>
      <c r="E75" s="143"/>
      <c r="F75" s="55"/>
      <c r="G75" s="311">
        <f>G72+G71+G70+G69+G68+G53+G52+G51+G49+G48+G47+G46+G55+G54+G50+G67</f>
        <v>129935</v>
      </c>
      <c r="H75" s="311">
        <f t="shared" ref="H75:L75" si="3">H72+H71+H70+H69+H68+H53+H52+H51+H49+H48+H47+H46+H55+H54+H50+H67</f>
        <v>21978.333333333332</v>
      </c>
      <c r="I75" s="311">
        <f t="shared" si="3"/>
        <v>71728.333333333328</v>
      </c>
      <c r="J75" s="311">
        <f t="shared" si="3"/>
        <v>36228.333333333328</v>
      </c>
      <c r="K75" s="311"/>
      <c r="L75" s="311">
        <f t="shared" si="3"/>
        <v>129935</v>
      </c>
    </row>
    <row r="76" spans="1:12" ht="19.5" customHeight="1">
      <c r="A76" s="139" t="s">
        <v>69</v>
      </c>
      <c r="B76" s="1"/>
      <c r="C76" s="1"/>
      <c r="D76" s="1"/>
      <c r="E76" s="1"/>
      <c r="F76" s="22"/>
      <c r="G76" s="312">
        <f>G38-G75</f>
        <v>-12052</v>
      </c>
      <c r="H76" s="22">
        <f>H38-H75</f>
        <v>-15278.333333333332</v>
      </c>
      <c r="I76" s="22">
        <f>I38-I75</f>
        <v>34454.666666666672</v>
      </c>
      <c r="J76" s="22">
        <f>J38-J75</f>
        <v>-31228.333333333328</v>
      </c>
      <c r="K76" s="22"/>
      <c r="L76" s="289">
        <f t="shared" si="0"/>
        <v>-12051.999999999989</v>
      </c>
    </row>
    <row r="77" spans="1:12" ht="19.5" customHeight="1">
      <c r="A77" s="95" t="s">
        <v>55</v>
      </c>
      <c r="B77" s="95"/>
      <c r="C77" s="95"/>
      <c r="D77" s="95"/>
      <c r="E77" s="144"/>
      <c r="F77" s="22"/>
      <c r="G77" s="289">
        <f>+G76</f>
        <v>-12052</v>
      </c>
      <c r="H77" s="23">
        <f t="shared" ref="H77:K77" si="4">+H76</f>
        <v>-15278.333333333332</v>
      </c>
      <c r="I77" s="23">
        <f t="shared" si="4"/>
        <v>34454.666666666672</v>
      </c>
      <c r="J77" s="23">
        <f t="shared" si="4"/>
        <v>-31228.333333333328</v>
      </c>
      <c r="K77" s="23"/>
      <c r="L77" s="289">
        <f t="shared" si="0"/>
        <v>-12051.999999999989</v>
      </c>
    </row>
    <row r="78" spans="1:12" ht="19.5" customHeight="1" thickBot="1">
      <c r="A78" s="134"/>
      <c r="B78" s="134"/>
      <c r="C78" s="134"/>
      <c r="D78" s="134"/>
      <c r="E78" s="134"/>
      <c r="F78" s="22"/>
      <c r="G78" s="289"/>
      <c r="H78" s="23"/>
      <c r="I78" s="23"/>
      <c r="J78" s="23"/>
      <c r="K78" s="23"/>
      <c r="L78" s="289"/>
    </row>
    <row r="79" spans="1:12" ht="39.75" customHeight="1">
      <c r="A79" s="219" t="s">
        <v>56</v>
      </c>
      <c r="B79" s="842" t="s">
        <v>28</v>
      </c>
      <c r="C79" s="843"/>
      <c r="D79" s="325">
        <v>3100</v>
      </c>
      <c r="E79" s="221"/>
      <c r="F79" s="222"/>
      <c r="G79" s="326">
        <f>D79+G77+G14-G42</f>
        <v>3048</v>
      </c>
      <c r="H79" s="222"/>
      <c r="I79" s="222"/>
      <c r="J79" s="222"/>
      <c r="K79" s="222"/>
      <c r="L79" s="289"/>
    </row>
    <row r="80" spans="1:12" ht="19.5" customHeight="1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9.5" customHeight="1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9.5" customHeight="1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9.5" customHeight="1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9.5" customHeight="1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9.5" customHeight="1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9.5" customHeight="1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9.5" customHeight="1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9.5" customHeight="1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9.5" customHeight="1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9.5" customHeight="1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9.5" customHeight="1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9.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9.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</sheetData>
  <mergeCells count="6">
    <mergeCell ref="B47:D47"/>
    <mergeCell ref="B48:D48"/>
    <mergeCell ref="B49:D49"/>
    <mergeCell ref="B50:D50"/>
    <mergeCell ref="B51:D51"/>
    <mergeCell ref="B79:C7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9"/>
  <sheetViews>
    <sheetView topLeftCell="A8" workbookViewId="0">
      <selection activeCell="J48" sqref="J48"/>
    </sheetView>
  </sheetViews>
  <sheetFormatPr baseColWidth="10" defaultColWidth="12.625" defaultRowHeight="14.25"/>
  <cols>
    <col min="1" max="1" width="21.375" style="278" customWidth="1"/>
    <col min="2" max="2" width="14.125" style="278" customWidth="1"/>
    <col min="3" max="3" width="12" style="278" customWidth="1"/>
    <col min="4" max="4" width="13.75" style="278" customWidth="1"/>
    <col min="5" max="5" width="0.25" style="278" customWidth="1"/>
    <col min="6" max="6" width="0.375" style="278" customWidth="1"/>
    <col min="7" max="7" width="11.125" style="278" customWidth="1"/>
    <col min="8" max="8" width="10" style="278" customWidth="1"/>
    <col min="9" max="9" width="10.5" style="278" customWidth="1"/>
    <col min="10" max="10" width="11.125" style="278" customWidth="1"/>
    <col min="11" max="11" width="11" style="278" customWidth="1"/>
    <col min="12" max="12" width="10" style="278" customWidth="1"/>
    <col min="13" max="16384" width="12.625" style="278"/>
  </cols>
  <sheetData>
    <row r="1" spans="1:13" ht="13.5" customHeight="1">
      <c r="A1" s="137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9.5" hidden="1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9.5" hidden="1" customHeight="1">
      <c r="A3" s="138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9.5" hidden="1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9.5" hidden="1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9.5" hidden="1" customHeight="1">
      <c r="A6" s="223" t="s">
        <v>99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</row>
    <row r="7" spans="1:13" ht="42" customHeight="1">
      <c r="A7" s="280" t="s">
        <v>99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</row>
    <row r="8" spans="1:13" ht="19.5" customHeight="1" thickBot="1">
      <c r="A8" s="282"/>
      <c r="B8" s="227" t="s">
        <v>103</v>
      </c>
      <c r="C8" s="1"/>
      <c r="D8" s="1"/>
      <c r="E8" s="1"/>
      <c r="F8" s="4"/>
      <c r="G8" s="4"/>
      <c r="H8" s="4"/>
      <c r="I8" s="4"/>
      <c r="J8" s="4"/>
      <c r="K8" s="4"/>
      <c r="L8" s="4"/>
    </row>
    <row r="9" spans="1:13" ht="53.25" customHeight="1" thickBot="1">
      <c r="A9" s="283" t="s">
        <v>100</v>
      </c>
      <c r="B9" s="140"/>
      <c r="C9" s="140"/>
      <c r="D9" s="140"/>
      <c r="E9" s="154" t="s">
        <v>70</v>
      </c>
      <c r="F9" s="233"/>
      <c r="G9" s="233">
        <v>2022</v>
      </c>
      <c r="H9" s="284" t="s">
        <v>133</v>
      </c>
      <c r="I9" s="285" t="s">
        <v>134</v>
      </c>
      <c r="J9" s="285" t="s">
        <v>135</v>
      </c>
      <c r="K9" s="285" t="s">
        <v>136</v>
      </c>
      <c r="L9" s="233" t="s">
        <v>137</v>
      </c>
    </row>
    <row r="10" spans="1:13" ht="19.5" customHeight="1">
      <c r="A10" s="286" t="s">
        <v>6</v>
      </c>
      <c r="B10" s="214"/>
      <c r="C10" s="129"/>
      <c r="D10" s="287"/>
      <c r="E10" s="141"/>
      <c r="F10" s="15"/>
      <c r="G10" s="15"/>
      <c r="H10" s="15"/>
      <c r="I10" s="15"/>
      <c r="J10" s="15"/>
      <c r="K10" s="15"/>
      <c r="L10" s="15"/>
    </row>
    <row r="11" spans="1:13" ht="19.5" customHeight="1">
      <c r="A11" s="288" t="s">
        <v>7</v>
      </c>
      <c r="B11" s="149"/>
      <c r="C11" s="149"/>
      <c r="D11" s="149"/>
      <c r="E11" s="155"/>
      <c r="F11" s="23"/>
      <c r="G11" s="289">
        <v>0</v>
      </c>
      <c r="H11" s="23"/>
      <c r="I11" s="23"/>
      <c r="J11" s="23"/>
      <c r="K11" s="23"/>
      <c r="L11" s="289">
        <f>I11+J11+K11+H11</f>
        <v>0</v>
      </c>
    </row>
    <row r="12" spans="1:13" ht="19.5" customHeight="1">
      <c r="A12" s="290" t="s">
        <v>8</v>
      </c>
      <c r="B12" s="291" t="s">
        <v>9</v>
      </c>
      <c r="C12" s="149"/>
      <c r="D12" s="149"/>
      <c r="E12" s="155"/>
      <c r="F12" s="23"/>
      <c r="G12" s="289">
        <v>0</v>
      </c>
      <c r="H12" s="23"/>
      <c r="I12" s="23"/>
      <c r="J12" s="23"/>
      <c r="K12" s="23"/>
      <c r="L12" s="289">
        <f t="shared" ref="L12:L76" si="0">I12+J12+K12+H12</f>
        <v>0</v>
      </c>
    </row>
    <row r="13" spans="1:13" ht="19.5" customHeight="1">
      <c r="A13" s="288" t="s">
        <v>10</v>
      </c>
      <c r="B13" s="149"/>
      <c r="C13" s="149"/>
      <c r="D13" s="149"/>
      <c r="E13" s="155"/>
      <c r="F13" s="23"/>
      <c r="G13" s="289">
        <v>0</v>
      </c>
      <c r="H13" s="23"/>
      <c r="I13" s="23"/>
      <c r="J13" s="23"/>
      <c r="K13" s="23"/>
      <c r="L13" s="289">
        <f t="shared" si="0"/>
        <v>0</v>
      </c>
    </row>
    <row r="14" spans="1:13" ht="19.5" customHeight="1" thickBot="1">
      <c r="A14" s="25" t="s">
        <v>11</v>
      </c>
      <c r="B14" s="292" t="s">
        <v>12</v>
      </c>
      <c r="C14" s="142"/>
      <c r="D14" s="142"/>
      <c r="E14" s="155"/>
      <c r="F14" s="23"/>
      <c r="G14" s="289">
        <v>15000</v>
      </c>
      <c r="H14" s="23"/>
      <c r="I14" s="23">
        <f>G14/2</f>
        <v>7500</v>
      </c>
      <c r="J14" s="23"/>
      <c r="K14" s="23">
        <f>G14/2</f>
        <v>7500</v>
      </c>
      <c r="L14" s="289">
        <f t="shared" si="0"/>
        <v>15000</v>
      </c>
      <c r="M14" s="302" t="s">
        <v>147</v>
      </c>
    </row>
    <row r="15" spans="1:13" ht="19.5" hidden="1" customHeight="1">
      <c r="A15" s="29" t="s">
        <v>13</v>
      </c>
      <c r="B15" s="142"/>
      <c r="C15" s="142"/>
      <c r="D15" s="142"/>
      <c r="E15" s="155"/>
      <c r="F15" s="23"/>
      <c r="G15" s="289" t="e">
        <f>SUM(#REF!)</f>
        <v>#REF!</v>
      </c>
      <c r="H15" s="23"/>
      <c r="I15" s="23"/>
      <c r="J15" s="23"/>
      <c r="K15" s="23"/>
      <c r="L15" s="289">
        <f t="shared" si="0"/>
        <v>0</v>
      </c>
    </row>
    <row r="16" spans="1:13" ht="19.5" customHeight="1" thickBot="1">
      <c r="A16" s="30" t="s">
        <v>14</v>
      </c>
      <c r="B16" s="293" t="s">
        <v>28</v>
      </c>
      <c r="C16" s="294"/>
      <c r="D16" s="295"/>
      <c r="E16" s="156"/>
      <c r="F16" s="23"/>
      <c r="G16" s="289">
        <f>SUM(G11:G14)</f>
        <v>15000</v>
      </c>
      <c r="H16" s="23"/>
      <c r="I16" s="23"/>
      <c r="J16" s="23"/>
      <c r="K16" s="23"/>
      <c r="L16" s="289">
        <f t="shared" si="0"/>
        <v>0</v>
      </c>
    </row>
    <row r="17" spans="1:12" ht="19.5" customHeight="1">
      <c r="A17" s="35" t="s">
        <v>15</v>
      </c>
      <c r="B17" s="296" t="s">
        <v>16</v>
      </c>
      <c r="C17" s="129"/>
      <c r="D17" s="129"/>
      <c r="E17" s="157"/>
      <c r="F17" s="23"/>
      <c r="G17" s="289">
        <v>0</v>
      </c>
      <c r="H17" s="23"/>
      <c r="I17" s="23"/>
      <c r="J17" s="23"/>
      <c r="K17" s="23"/>
      <c r="L17" s="289">
        <f t="shared" si="0"/>
        <v>0</v>
      </c>
    </row>
    <row r="18" spans="1:12" ht="19.5" customHeight="1">
      <c r="A18" s="297" t="s">
        <v>94</v>
      </c>
      <c r="B18" s="299" t="s">
        <v>107</v>
      </c>
      <c r="C18" s="228"/>
      <c r="D18" s="142"/>
      <c r="E18" s="155"/>
      <c r="F18" s="23"/>
      <c r="G18" s="289">
        <v>5000</v>
      </c>
      <c r="H18" s="23">
        <f>G18*0.1</f>
        <v>500</v>
      </c>
      <c r="I18" s="23">
        <f>G18*0.5</f>
        <v>2500</v>
      </c>
      <c r="J18" s="23">
        <f>G18*0.2</f>
        <v>1000</v>
      </c>
      <c r="K18" s="23">
        <f>G18*0.2</f>
        <v>1000</v>
      </c>
      <c r="L18" s="289">
        <f t="shared" si="0"/>
        <v>5000</v>
      </c>
    </row>
    <row r="19" spans="1:12" ht="19.5" customHeight="1">
      <c r="A19" s="297" t="s">
        <v>91</v>
      </c>
      <c r="B19" s="299" t="s">
        <v>108</v>
      </c>
      <c r="C19" s="228"/>
      <c r="D19" s="142"/>
      <c r="E19" s="155"/>
      <c r="F19" s="23"/>
      <c r="G19" s="289">
        <v>50000</v>
      </c>
      <c r="H19" s="23"/>
      <c r="I19" s="23">
        <v>50000</v>
      </c>
      <c r="J19" s="23"/>
      <c r="K19" s="23"/>
      <c r="L19" s="289">
        <f t="shared" si="0"/>
        <v>50000</v>
      </c>
    </row>
    <row r="20" spans="1:12" ht="19.5" customHeight="1">
      <c r="A20" s="297" t="s">
        <v>148</v>
      </c>
      <c r="B20" s="299" t="s">
        <v>77</v>
      </c>
      <c r="C20" s="228"/>
      <c r="D20" s="142"/>
      <c r="E20" s="155"/>
      <c r="F20" s="23"/>
      <c r="G20" s="289">
        <v>5760</v>
      </c>
      <c r="H20" s="23">
        <f>G20/4</f>
        <v>1440</v>
      </c>
      <c r="I20" s="23">
        <f>G20/4</f>
        <v>1440</v>
      </c>
      <c r="J20" s="23">
        <f>G20/4</f>
        <v>1440</v>
      </c>
      <c r="K20" s="23">
        <f>G20/4</f>
        <v>1440</v>
      </c>
      <c r="L20" s="289">
        <f t="shared" si="0"/>
        <v>5760</v>
      </c>
    </row>
    <row r="21" spans="1:12" ht="19.5" customHeight="1">
      <c r="A21" s="297" t="s">
        <v>92</v>
      </c>
      <c r="B21" s="299" t="s">
        <v>78</v>
      </c>
      <c r="C21" s="228"/>
      <c r="D21" s="142"/>
      <c r="E21" s="155"/>
      <c r="F21" s="23"/>
      <c r="G21" s="289">
        <v>12000</v>
      </c>
      <c r="H21" s="23">
        <f>G21/4</f>
        <v>3000</v>
      </c>
      <c r="I21" s="23">
        <f>G21/4</f>
        <v>3000</v>
      </c>
      <c r="J21" s="23">
        <f>G21/4</f>
        <v>3000</v>
      </c>
      <c r="K21" s="23">
        <f>G21/4</f>
        <v>3000</v>
      </c>
      <c r="L21" s="289">
        <f t="shared" si="0"/>
        <v>12000</v>
      </c>
    </row>
    <row r="22" spans="1:12" ht="19.5" customHeight="1">
      <c r="A22" s="297" t="s">
        <v>96</v>
      </c>
      <c r="B22" s="299" t="s">
        <v>80</v>
      </c>
      <c r="C22" s="228"/>
      <c r="D22" s="142"/>
      <c r="E22" s="155"/>
      <c r="F22" s="23"/>
      <c r="G22" s="289">
        <v>20000</v>
      </c>
      <c r="H22" s="23">
        <f>G22/4</f>
        <v>5000</v>
      </c>
      <c r="I22" s="23">
        <f>G22/4</f>
        <v>5000</v>
      </c>
      <c r="J22" s="23">
        <f>G22/4</f>
        <v>5000</v>
      </c>
      <c r="K22" s="23">
        <f>G22/4</f>
        <v>5000</v>
      </c>
      <c r="L22" s="289">
        <f t="shared" si="0"/>
        <v>20000</v>
      </c>
    </row>
    <row r="23" spans="1:12" ht="19.5" customHeight="1">
      <c r="A23" s="297" t="s">
        <v>97</v>
      </c>
      <c r="B23" s="299" t="s">
        <v>79</v>
      </c>
      <c r="C23" s="228"/>
      <c r="D23" s="142"/>
      <c r="E23" s="155"/>
      <c r="F23" s="23"/>
      <c r="G23" s="289">
        <v>5000</v>
      </c>
      <c r="H23" s="23">
        <f>G23/4</f>
        <v>1250</v>
      </c>
      <c r="I23" s="23">
        <f>G23/4</f>
        <v>1250</v>
      </c>
      <c r="J23" s="23">
        <f>G23/4</f>
        <v>1250</v>
      </c>
      <c r="K23" s="23">
        <f>G23/4</f>
        <v>1250</v>
      </c>
      <c r="L23" s="289">
        <f t="shared" si="0"/>
        <v>5000</v>
      </c>
    </row>
    <row r="24" spans="1:12" ht="19.5" customHeight="1">
      <c r="A24" s="187" t="s">
        <v>98</v>
      </c>
      <c r="B24" s="299" t="s">
        <v>81</v>
      </c>
      <c r="C24" s="228"/>
      <c r="D24" s="142"/>
      <c r="E24" s="155"/>
      <c r="F24" s="23"/>
      <c r="G24" s="289">
        <v>35000</v>
      </c>
      <c r="H24" s="23"/>
      <c r="I24" s="23"/>
      <c r="J24" s="23"/>
      <c r="K24" s="23">
        <f>G24</f>
        <v>35000</v>
      </c>
      <c r="L24" s="289">
        <f t="shared" si="0"/>
        <v>35000</v>
      </c>
    </row>
    <row r="25" spans="1:12" ht="19.5" hidden="1" customHeight="1">
      <c r="A25" s="290" t="s">
        <v>17</v>
      </c>
      <c r="B25" s="142"/>
      <c r="C25" s="142"/>
      <c r="D25" s="142"/>
      <c r="E25" s="155"/>
      <c r="F25" s="23"/>
      <c r="G25" s="289" t="e">
        <f>SUM(#REF!)</f>
        <v>#REF!</v>
      </c>
      <c r="H25" s="23"/>
      <c r="I25" s="23"/>
      <c r="J25" s="23"/>
      <c r="K25" s="23"/>
      <c r="L25" s="289">
        <f t="shared" si="0"/>
        <v>0</v>
      </c>
    </row>
    <row r="26" spans="1:12" ht="19.5" hidden="1" customHeight="1">
      <c r="A26" s="290" t="s">
        <v>19</v>
      </c>
      <c r="B26" s="142"/>
      <c r="C26" s="142"/>
      <c r="D26" s="142"/>
      <c r="E26" s="155"/>
      <c r="F26" s="23"/>
      <c r="G26" s="289" t="e">
        <f>SUM(#REF!)</f>
        <v>#REF!</v>
      </c>
      <c r="H26" s="23"/>
      <c r="I26" s="23"/>
      <c r="J26" s="23"/>
      <c r="K26" s="23"/>
      <c r="L26" s="289">
        <f t="shared" si="0"/>
        <v>0</v>
      </c>
    </row>
    <row r="27" spans="1:12" ht="19.5" hidden="1" customHeight="1">
      <c r="A27" s="290" t="s">
        <v>20</v>
      </c>
      <c r="B27" s="142"/>
      <c r="C27" s="142"/>
      <c r="D27" s="142"/>
      <c r="E27" s="155"/>
      <c r="F27" s="23"/>
      <c r="G27" s="289" t="e">
        <f>SUM(#REF!)</f>
        <v>#REF!</v>
      </c>
      <c r="H27" s="23"/>
      <c r="I27" s="23"/>
      <c r="J27" s="23"/>
      <c r="K27" s="23"/>
      <c r="L27" s="289">
        <f t="shared" si="0"/>
        <v>0</v>
      </c>
    </row>
    <row r="28" spans="1:12" ht="19.5" hidden="1" customHeight="1">
      <c r="A28" s="290" t="s">
        <v>21</v>
      </c>
      <c r="B28" s="142"/>
      <c r="C28" s="142"/>
      <c r="D28" s="142"/>
      <c r="E28" s="155"/>
      <c r="F28" s="23"/>
      <c r="G28" s="289" t="e">
        <f>SUM(#REF!)</f>
        <v>#REF!</v>
      </c>
      <c r="H28" s="23"/>
      <c r="I28" s="23"/>
      <c r="J28" s="23"/>
      <c r="K28" s="23"/>
      <c r="L28" s="289">
        <f t="shared" si="0"/>
        <v>0</v>
      </c>
    </row>
    <row r="29" spans="1:12" ht="19.5" hidden="1" customHeight="1">
      <c r="A29" s="290" t="s">
        <v>22</v>
      </c>
      <c r="B29" s="142"/>
      <c r="C29" s="142"/>
      <c r="D29" s="142"/>
      <c r="E29" s="155"/>
      <c r="F29" s="23"/>
      <c r="G29" s="289" t="e">
        <f>SUM(#REF!)</f>
        <v>#REF!</v>
      </c>
      <c r="H29" s="23"/>
      <c r="I29" s="23"/>
      <c r="J29" s="23"/>
      <c r="K29" s="23"/>
      <c r="L29" s="289">
        <f t="shared" si="0"/>
        <v>0</v>
      </c>
    </row>
    <row r="30" spans="1:12" ht="19.5" customHeight="1">
      <c r="A30" s="188" t="s">
        <v>23</v>
      </c>
      <c r="B30" s="300" t="s">
        <v>82</v>
      </c>
      <c r="C30" s="206"/>
      <c r="D30" s="301"/>
      <c r="E30" s="158"/>
      <c r="F30" s="23"/>
      <c r="G30" s="289">
        <v>7883</v>
      </c>
      <c r="H30" s="23"/>
      <c r="I30" s="23">
        <f>+G30</f>
        <v>7883</v>
      </c>
      <c r="J30" s="23"/>
      <c r="K30" s="23"/>
      <c r="L30" s="289">
        <f t="shared" si="0"/>
        <v>7883</v>
      </c>
    </row>
    <row r="31" spans="1:12" ht="19.5" customHeight="1">
      <c r="A31" s="183" t="s">
        <v>23</v>
      </c>
      <c r="B31" s="304" t="s">
        <v>149</v>
      </c>
      <c r="C31" s="208"/>
      <c r="D31" s="208"/>
      <c r="E31" s="159"/>
      <c r="F31" s="23"/>
      <c r="G31" s="289">
        <v>0</v>
      </c>
      <c r="H31" s="23"/>
      <c r="I31" s="23"/>
      <c r="J31" s="23"/>
      <c r="K31" s="23"/>
      <c r="L31" s="289">
        <f t="shared" si="0"/>
        <v>0</v>
      </c>
    </row>
    <row r="32" spans="1:12" ht="19.5" customHeight="1">
      <c r="A32" s="328"/>
      <c r="B32" s="329"/>
      <c r="C32" s="306"/>
      <c r="D32" s="306"/>
      <c r="E32" s="160"/>
      <c r="F32" s="23"/>
      <c r="G32" s="289"/>
      <c r="H32" s="23"/>
      <c r="I32" s="23"/>
      <c r="J32" s="23"/>
      <c r="K32" s="23"/>
      <c r="L32" s="289"/>
    </row>
    <row r="33" spans="1:12" ht="19.5" customHeight="1">
      <c r="A33" s="199" t="s">
        <v>150</v>
      </c>
      <c r="B33" s="200" t="s">
        <v>151</v>
      </c>
      <c r="C33" s="194"/>
      <c r="D33" s="195"/>
      <c r="E33" s="162"/>
      <c r="F33" s="23"/>
      <c r="G33" s="289">
        <v>11407</v>
      </c>
      <c r="H33" s="23">
        <f>G33/4</f>
        <v>2851.75</v>
      </c>
      <c r="I33" s="23">
        <f>G33/4</f>
        <v>2851.75</v>
      </c>
      <c r="J33" s="23">
        <f>G33/4</f>
        <v>2851.75</v>
      </c>
      <c r="K33" s="23">
        <f>G33/4</f>
        <v>2851.75</v>
      </c>
      <c r="L33" s="289">
        <f t="shared" ref="L33" si="1">I33+J33+K33+H33</f>
        <v>11407</v>
      </c>
    </row>
    <row r="34" spans="1:12" ht="19.5" customHeight="1">
      <c r="A34" s="191" t="s">
        <v>25</v>
      </c>
      <c r="B34" s="307" t="s">
        <v>27</v>
      </c>
      <c r="C34" s="217"/>
      <c r="D34" s="308"/>
      <c r="E34" s="162"/>
      <c r="F34" s="23"/>
      <c r="G34" s="289">
        <v>1763</v>
      </c>
      <c r="H34" s="23">
        <f>G34/4</f>
        <v>440.75</v>
      </c>
      <c r="I34" s="23">
        <f>G34/4</f>
        <v>440.75</v>
      </c>
      <c r="J34" s="23">
        <f>G34/4</f>
        <v>440.75</v>
      </c>
      <c r="K34" s="23">
        <f>G34/4</f>
        <v>440.75</v>
      </c>
      <c r="L34" s="289">
        <f t="shared" si="0"/>
        <v>1763</v>
      </c>
    </row>
    <row r="35" spans="1:12" ht="19.5" customHeight="1" thickBot="1">
      <c r="A35" s="199"/>
      <c r="B35" s="200"/>
      <c r="C35" s="194"/>
      <c r="D35" s="195"/>
      <c r="E35" s="162"/>
      <c r="F35" s="23"/>
      <c r="G35" s="289"/>
      <c r="H35" s="23"/>
      <c r="I35" s="23"/>
      <c r="J35" s="23"/>
      <c r="K35" s="23"/>
      <c r="L35" s="289"/>
    </row>
    <row r="36" spans="1:12" ht="19.5" customHeight="1" thickBot="1">
      <c r="A36" s="30"/>
      <c r="B36" s="293" t="s">
        <v>28</v>
      </c>
      <c r="C36" s="294"/>
      <c r="D36" s="150"/>
      <c r="E36" s="161"/>
      <c r="F36" s="23"/>
      <c r="G36" s="289"/>
      <c r="H36" s="23"/>
      <c r="I36" s="23"/>
      <c r="J36" s="23"/>
      <c r="K36" s="23"/>
      <c r="L36" s="289"/>
    </row>
    <row r="37" spans="1:12" ht="19.5" customHeight="1" thickBot="1">
      <c r="A37" s="53" t="s">
        <v>139</v>
      </c>
      <c r="B37" s="309" t="s">
        <v>28</v>
      </c>
      <c r="C37" s="310"/>
      <c r="D37" s="148"/>
      <c r="E37" s="143"/>
      <c r="F37" s="201"/>
      <c r="G37" s="311">
        <f>G35+G34+G33+G31+G32+G30+G24+G23+G22+G21+G20+G18+G19</f>
        <v>153813</v>
      </c>
      <c r="H37" s="311">
        <f t="shared" ref="H37:L37" si="2">H35+H34+H33+H31+H32+H30+H24+H23+H22+H21+H20+H18+H19</f>
        <v>14482.5</v>
      </c>
      <c r="I37" s="311">
        <f t="shared" si="2"/>
        <v>74365.5</v>
      </c>
      <c r="J37" s="311">
        <f t="shared" si="2"/>
        <v>14982.5</v>
      </c>
      <c r="K37" s="311">
        <f t="shared" si="2"/>
        <v>49982.5</v>
      </c>
      <c r="L37" s="311">
        <f t="shared" si="2"/>
        <v>153813</v>
      </c>
    </row>
    <row r="38" spans="1:12" ht="12" customHeight="1" thickBot="1">
      <c r="A38" s="3"/>
      <c r="B38" s="1"/>
      <c r="C38" s="1"/>
      <c r="D38" s="1"/>
      <c r="E38" s="1"/>
      <c r="F38" s="22"/>
      <c r="G38" s="289"/>
      <c r="H38" s="23"/>
      <c r="I38" s="23"/>
      <c r="J38" s="23"/>
      <c r="K38" s="23"/>
      <c r="L38" s="289">
        <f t="shared" si="0"/>
        <v>0</v>
      </c>
    </row>
    <row r="39" spans="1:12" ht="19.5" customHeight="1" thickBot="1">
      <c r="A39" s="5" t="s">
        <v>101</v>
      </c>
      <c r="B39" s="140"/>
      <c r="C39" s="140"/>
      <c r="D39" s="140"/>
      <c r="E39" s="154" t="s">
        <v>71</v>
      </c>
      <c r="F39" s="22"/>
      <c r="G39" s="289"/>
      <c r="H39" s="23"/>
      <c r="I39" s="23"/>
      <c r="J39" s="23"/>
      <c r="K39" s="23"/>
      <c r="L39" s="289">
        <f t="shared" si="0"/>
        <v>0</v>
      </c>
    </row>
    <row r="40" spans="1:12" ht="19.5" customHeight="1">
      <c r="A40" s="290" t="s">
        <v>30</v>
      </c>
      <c r="B40" s="296"/>
      <c r="C40" s="129"/>
      <c r="D40" s="142"/>
      <c r="E40" s="155"/>
      <c r="F40" s="23"/>
      <c r="G40" s="289">
        <v>0</v>
      </c>
      <c r="H40" s="23"/>
      <c r="I40" s="23"/>
      <c r="J40" s="23"/>
      <c r="K40" s="23"/>
      <c r="L40" s="289">
        <f t="shared" si="0"/>
        <v>0</v>
      </c>
    </row>
    <row r="41" spans="1:12" ht="19.5" customHeight="1" thickBot="1">
      <c r="A41" s="330" t="s">
        <v>152</v>
      </c>
      <c r="B41" s="151"/>
      <c r="C41" s="151"/>
      <c r="D41" s="149"/>
      <c r="E41" s="155"/>
      <c r="F41" s="23"/>
      <c r="G41" s="289">
        <v>3000</v>
      </c>
      <c r="H41" s="23"/>
      <c r="I41" s="23">
        <f>G41/2</f>
        <v>1500</v>
      </c>
      <c r="J41" s="23"/>
      <c r="K41" s="23">
        <f>G41/2</f>
        <v>1500</v>
      </c>
      <c r="L41" s="289">
        <f t="shared" si="0"/>
        <v>3000</v>
      </c>
    </row>
    <row r="42" spans="1:12" ht="19.5" hidden="1" customHeight="1">
      <c r="A42" s="29" t="s">
        <v>32</v>
      </c>
      <c r="B42" s="151"/>
      <c r="C42" s="151"/>
      <c r="D42" s="151"/>
      <c r="E42" s="157"/>
      <c r="F42" s="23"/>
      <c r="G42" s="289" t="e">
        <f>SUM(#REF!)</f>
        <v>#REF!</v>
      </c>
      <c r="H42" s="23"/>
      <c r="I42" s="23"/>
      <c r="J42" s="23"/>
      <c r="K42" s="23"/>
      <c r="L42" s="289">
        <f t="shared" si="0"/>
        <v>0</v>
      </c>
    </row>
    <row r="43" spans="1:12" ht="19.5" customHeight="1" thickBot="1">
      <c r="A43" s="30" t="s">
        <v>14</v>
      </c>
      <c r="B43" s="293" t="s">
        <v>28</v>
      </c>
      <c r="C43" s="294"/>
      <c r="D43" s="150"/>
      <c r="E43" s="161"/>
      <c r="F43" s="23"/>
      <c r="G43" s="289">
        <v>0</v>
      </c>
      <c r="H43" s="23"/>
      <c r="I43" s="23"/>
      <c r="J43" s="23"/>
      <c r="K43" s="23"/>
      <c r="L43" s="289">
        <f t="shared" si="0"/>
        <v>0</v>
      </c>
    </row>
    <row r="44" spans="1:12" ht="19.5" customHeight="1">
      <c r="A44" s="29" t="s">
        <v>33</v>
      </c>
      <c r="B44" s="313" t="s">
        <v>28</v>
      </c>
      <c r="C44" s="129"/>
      <c r="D44" s="129"/>
      <c r="E44" s="157"/>
      <c r="F44" s="23"/>
      <c r="G44" s="289">
        <v>0</v>
      </c>
      <c r="H44" s="23"/>
      <c r="I44" s="23"/>
      <c r="J44" s="23"/>
      <c r="K44" s="23"/>
      <c r="L44" s="289">
        <f t="shared" si="0"/>
        <v>0</v>
      </c>
    </row>
    <row r="45" spans="1:12" ht="30" customHeight="1">
      <c r="A45" s="314" t="s">
        <v>34</v>
      </c>
      <c r="B45" s="315" t="str">
        <f>B21</f>
        <v xml:space="preserve"> Ateliers collectifs bénéficiaires </v>
      </c>
      <c r="C45" s="153"/>
      <c r="D45" s="153"/>
      <c r="E45" s="163"/>
      <c r="F45" s="23"/>
      <c r="G45" s="289">
        <v>6800</v>
      </c>
      <c r="H45" s="23">
        <v>1700</v>
      </c>
      <c r="I45" s="23">
        <v>1700</v>
      </c>
      <c r="J45" s="23">
        <v>1700</v>
      </c>
      <c r="K45" s="23">
        <v>1700</v>
      </c>
      <c r="L45" s="289">
        <f t="shared" si="0"/>
        <v>6800</v>
      </c>
    </row>
    <row r="46" spans="1:12" ht="39" customHeight="1">
      <c r="A46" s="202" t="s">
        <v>35</v>
      </c>
      <c r="B46" s="841" t="s">
        <v>85</v>
      </c>
      <c r="C46" s="849"/>
      <c r="D46" s="849"/>
      <c r="E46" s="164"/>
      <c r="F46" s="23"/>
      <c r="G46" s="289">
        <v>7000</v>
      </c>
      <c r="H46" s="23">
        <f>G46/4</f>
        <v>1750</v>
      </c>
      <c r="I46" s="23">
        <f>G46/4</f>
        <v>1750</v>
      </c>
      <c r="J46" s="23">
        <f>G46/4</f>
        <v>1750</v>
      </c>
      <c r="K46" s="23">
        <f>G46/4</f>
        <v>1750</v>
      </c>
      <c r="L46" s="289">
        <f t="shared" si="0"/>
        <v>7000</v>
      </c>
    </row>
    <row r="47" spans="1:12" ht="39" customHeight="1">
      <c r="A47" s="202" t="s">
        <v>36</v>
      </c>
      <c r="B47" s="858" t="str">
        <f>B24</f>
        <v xml:space="preserve">Cures Remise en Santé </v>
      </c>
      <c r="C47" s="849"/>
      <c r="D47" s="849"/>
      <c r="E47" s="164"/>
      <c r="F47" s="23"/>
      <c r="G47" s="289">
        <v>29166</v>
      </c>
      <c r="H47" s="23"/>
      <c r="I47" s="23"/>
      <c r="J47" s="23"/>
      <c r="K47" s="23">
        <f>G47</f>
        <v>29166</v>
      </c>
      <c r="L47" s="289">
        <f t="shared" si="0"/>
        <v>29166</v>
      </c>
    </row>
    <row r="48" spans="1:12" ht="46.9" customHeight="1">
      <c r="A48" s="203" t="s">
        <v>37</v>
      </c>
      <c r="B48" s="841" t="s">
        <v>86</v>
      </c>
      <c r="C48" s="849"/>
      <c r="D48" s="849"/>
      <c r="E48" s="164"/>
      <c r="F48" s="23"/>
      <c r="G48" s="289">
        <v>24000</v>
      </c>
      <c r="H48" s="23">
        <f>G48/4</f>
        <v>6000</v>
      </c>
      <c r="I48" s="23">
        <f>G48/4</f>
        <v>6000</v>
      </c>
      <c r="J48" s="23">
        <f>G48/4</f>
        <v>6000</v>
      </c>
      <c r="K48" s="23">
        <f>G48/4</f>
        <v>6000</v>
      </c>
      <c r="L48" s="289">
        <f t="shared" si="0"/>
        <v>24000</v>
      </c>
    </row>
    <row r="49" spans="1:12" ht="26.25" customHeight="1">
      <c r="A49" s="204" t="s">
        <v>73</v>
      </c>
      <c r="B49" s="841" t="s">
        <v>153</v>
      </c>
      <c r="C49" s="841"/>
      <c r="D49" s="859"/>
      <c r="E49" s="164"/>
      <c r="F49" s="23"/>
      <c r="G49" s="289">
        <v>16556</v>
      </c>
      <c r="H49" s="23"/>
      <c r="I49" s="23"/>
      <c r="J49" s="23">
        <f>G49</f>
        <v>16556</v>
      </c>
      <c r="K49" s="23"/>
      <c r="L49" s="289">
        <f t="shared" si="0"/>
        <v>16556</v>
      </c>
    </row>
    <row r="50" spans="1:12" ht="28.5" customHeight="1">
      <c r="A50" s="204" t="s">
        <v>73</v>
      </c>
      <c r="B50" s="841" t="s">
        <v>154</v>
      </c>
      <c r="C50" s="841"/>
      <c r="D50" s="859"/>
      <c r="E50" s="164"/>
      <c r="F50" s="23"/>
      <c r="G50" s="289">
        <v>45000</v>
      </c>
      <c r="H50" s="23"/>
      <c r="I50" s="23"/>
      <c r="J50" s="23">
        <f>G50</f>
        <v>45000</v>
      </c>
      <c r="K50" s="23"/>
      <c r="L50" s="289">
        <f t="shared" si="0"/>
        <v>45000</v>
      </c>
    </row>
    <row r="51" spans="1:12" ht="19.5" customHeight="1">
      <c r="A51" s="316" t="s">
        <v>155</v>
      </c>
      <c r="B51" s="300" t="s">
        <v>156</v>
      </c>
      <c r="C51" s="206"/>
      <c r="D51" s="206"/>
      <c r="E51" s="157"/>
      <c r="F51" s="23"/>
      <c r="G51" s="289">
        <v>2000</v>
      </c>
      <c r="H51" s="23">
        <v>500</v>
      </c>
      <c r="I51" s="23">
        <v>500</v>
      </c>
      <c r="J51" s="23">
        <v>500</v>
      </c>
      <c r="K51" s="23">
        <v>500</v>
      </c>
      <c r="L51" s="289">
        <f t="shared" si="0"/>
        <v>2000</v>
      </c>
    </row>
    <row r="52" spans="1:12" ht="19.5" customHeight="1">
      <c r="A52" s="319" t="s">
        <v>87</v>
      </c>
      <c r="B52" s="304" t="s">
        <v>157</v>
      </c>
      <c r="C52" s="208"/>
      <c r="D52" s="208"/>
      <c r="E52" s="159"/>
      <c r="F52" s="23"/>
      <c r="G52" s="289">
        <v>33000</v>
      </c>
      <c r="H52" s="23"/>
      <c r="I52" s="23"/>
      <c r="J52" s="23"/>
      <c r="K52" s="23">
        <f>G52</f>
        <v>33000</v>
      </c>
      <c r="L52" s="289">
        <f t="shared" si="0"/>
        <v>33000</v>
      </c>
    </row>
    <row r="53" spans="1:12" ht="19.5" customHeight="1">
      <c r="A53" s="319" t="s">
        <v>87</v>
      </c>
      <c r="B53" s="231" t="s">
        <v>158</v>
      </c>
      <c r="C53" s="212"/>
      <c r="D53" s="212"/>
      <c r="E53" s="159"/>
      <c r="F53" s="23"/>
      <c r="G53" s="289">
        <v>16000</v>
      </c>
      <c r="H53" s="23">
        <v>4000</v>
      </c>
      <c r="I53" s="23">
        <v>4000</v>
      </c>
      <c r="J53" s="23">
        <v>4000</v>
      </c>
      <c r="K53" s="23">
        <v>4000</v>
      </c>
      <c r="L53" s="289">
        <f t="shared" si="0"/>
        <v>16000</v>
      </c>
    </row>
    <row r="54" spans="1:12" ht="19.5" customHeight="1">
      <c r="A54" s="319" t="s">
        <v>87</v>
      </c>
      <c r="B54" s="231" t="s">
        <v>159</v>
      </c>
      <c r="C54" s="212"/>
      <c r="D54" s="212"/>
      <c r="E54" s="160"/>
      <c r="F54" s="23"/>
      <c r="G54" s="289">
        <v>25000</v>
      </c>
      <c r="H54" s="23">
        <v>6250</v>
      </c>
      <c r="I54" s="23">
        <v>6250</v>
      </c>
      <c r="J54" s="23">
        <v>6250</v>
      </c>
      <c r="K54" s="23">
        <v>6250</v>
      </c>
      <c r="L54" s="289">
        <f t="shared" si="0"/>
        <v>25000</v>
      </c>
    </row>
    <row r="55" spans="1:12" ht="19.5" hidden="1" customHeight="1">
      <c r="A55" s="29" t="s">
        <v>39</v>
      </c>
      <c r="B55" s="231" t="s">
        <v>159</v>
      </c>
      <c r="C55" s="212"/>
      <c r="D55" s="212"/>
      <c r="E55" s="157"/>
      <c r="F55" s="23"/>
      <c r="G55" s="289" t="e">
        <f>SUM(#REF!)</f>
        <v>#REF!</v>
      </c>
      <c r="H55" s="23"/>
      <c r="I55" s="23"/>
      <c r="J55" s="23"/>
      <c r="K55" s="23"/>
      <c r="L55" s="289">
        <f t="shared" si="0"/>
        <v>0</v>
      </c>
    </row>
    <row r="56" spans="1:12" ht="19.5" hidden="1" customHeight="1">
      <c r="A56" s="29" t="s">
        <v>41</v>
      </c>
      <c r="B56" s="231" t="s">
        <v>159</v>
      </c>
      <c r="C56" s="212"/>
      <c r="D56" s="212"/>
      <c r="E56" s="157"/>
      <c r="F56" s="23"/>
      <c r="G56" s="289" t="e">
        <f>SUM(#REF!)</f>
        <v>#REF!</v>
      </c>
      <c r="H56" s="23"/>
      <c r="I56" s="23"/>
      <c r="J56" s="23"/>
      <c r="K56" s="23"/>
      <c r="L56" s="289">
        <f t="shared" si="0"/>
        <v>0</v>
      </c>
    </row>
    <row r="57" spans="1:12" ht="19.5" hidden="1" customHeight="1">
      <c r="A57" s="29" t="s">
        <v>42</v>
      </c>
      <c r="B57" s="231" t="s">
        <v>159</v>
      </c>
      <c r="C57" s="212"/>
      <c r="D57" s="212"/>
      <c r="E57" s="157"/>
      <c r="F57" s="23"/>
      <c r="G57" s="289" t="e">
        <f>SUM(#REF!)</f>
        <v>#REF!</v>
      </c>
      <c r="H57" s="23"/>
      <c r="I57" s="23"/>
      <c r="J57" s="23"/>
      <c r="K57" s="23"/>
      <c r="L57" s="289">
        <f t="shared" si="0"/>
        <v>0</v>
      </c>
    </row>
    <row r="58" spans="1:12" ht="19.5" hidden="1" customHeight="1">
      <c r="A58" s="29" t="s">
        <v>43</v>
      </c>
      <c r="B58" s="231" t="s">
        <v>159</v>
      </c>
      <c r="C58" s="212"/>
      <c r="D58" s="212"/>
      <c r="E58" s="157"/>
      <c r="F58" s="23"/>
      <c r="G58" s="289" t="e">
        <f>SUM(#REF!)</f>
        <v>#REF!</v>
      </c>
      <c r="H58" s="23"/>
      <c r="I58" s="23"/>
      <c r="J58" s="23"/>
      <c r="K58" s="23"/>
      <c r="L58" s="289">
        <f t="shared" si="0"/>
        <v>0</v>
      </c>
    </row>
    <row r="59" spans="1:12" ht="19.5" hidden="1" customHeight="1">
      <c r="A59" s="29" t="s">
        <v>44</v>
      </c>
      <c r="B59" s="231" t="s">
        <v>159</v>
      </c>
      <c r="C59" s="212"/>
      <c r="D59" s="212"/>
      <c r="E59" s="157"/>
      <c r="F59" s="23"/>
      <c r="G59" s="289" t="e">
        <f>SUM(#REF!)</f>
        <v>#REF!</v>
      </c>
      <c r="H59" s="23"/>
      <c r="I59" s="23"/>
      <c r="J59" s="23"/>
      <c r="K59" s="23"/>
      <c r="L59" s="289">
        <f t="shared" si="0"/>
        <v>0</v>
      </c>
    </row>
    <row r="60" spans="1:12" ht="19.5" hidden="1" customHeight="1">
      <c r="A60" s="29" t="s">
        <v>45</v>
      </c>
      <c r="B60" s="231" t="s">
        <v>159</v>
      </c>
      <c r="C60" s="212"/>
      <c r="D60" s="212"/>
      <c r="E60" s="157"/>
      <c r="F60" s="23"/>
      <c r="G60" s="289" t="e">
        <f>SUM(#REF!)</f>
        <v>#REF!</v>
      </c>
      <c r="H60" s="23"/>
      <c r="I60" s="23"/>
      <c r="J60" s="23"/>
      <c r="K60" s="23"/>
      <c r="L60" s="289">
        <f t="shared" si="0"/>
        <v>0</v>
      </c>
    </row>
    <row r="61" spans="1:12" ht="19.5" hidden="1" customHeight="1">
      <c r="A61" s="29" t="s">
        <v>46</v>
      </c>
      <c r="B61" s="231" t="s">
        <v>159</v>
      </c>
      <c r="C61" s="212"/>
      <c r="D61" s="212"/>
      <c r="E61" s="157"/>
      <c r="F61" s="23"/>
      <c r="G61" s="289" t="e">
        <f>SUM(#REF!)</f>
        <v>#REF!</v>
      </c>
      <c r="H61" s="23"/>
      <c r="I61" s="23"/>
      <c r="J61" s="23"/>
      <c r="K61" s="23"/>
      <c r="L61" s="289">
        <f t="shared" si="0"/>
        <v>0</v>
      </c>
    </row>
    <row r="62" spans="1:12" ht="19.5" hidden="1" customHeight="1">
      <c r="A62" s="29" t="s">
        <v>47</v>
      </c>
      <c r="B62" s="231" t="s">
        <v>159</v>
      </c>
      <c r="C62" s="212"/>
      <c r="D62" s="212"/>
      <c r="E62" s="157"/>
      <c r="F62" s="23"/>
      <c r="G62" s="289" t="e">
        <f>SUM(#REF!)</f>
        <v>#REF!</v>
      </c>
      <c r="H62" s="23"/>
      <c r="I62" s="23"/>
      <c r="J62" s="23"/>
      <c r="K62" s="23"/>
      <c r="L62" s="289">
        <f t="shared" si="0"/>
        <v>0</v>
      </c>
    </row>
    <row r="63" spans="1:12" ht="19.5" hidden="1" customHeight="1">
      <c r="A63" s="29" t="s">
        <v>48</v>
      </c>
      <c r="B63" s="231" t="s">
        <v>159</v>
      </c>
      <c r="C63" s="212"/>
      <c r="D63" s="212"/>
      <c r="E63" s="157"/>
      <c r="F63" s="23"/>
      <c r="G63" s="289" t="e">
        <f>SUM(#REF!)</f>
        <v>#REF!</v>
      </c>
      <c r="H63" s="23"/>
      <c r="I63" s="23"/>
      <c r="J63" s="23"/>
      <c r="K63" s="23"/>
      <c r="L63" s="289">
        <f t="shared" si="0"/>
        <v>0</v>
      </c>
    </row>
    <row r="64" spans="1:12" ht="19.5" hidden="1" customHeight="1">
      <c r="A64" s="29" t="s">
        <v>49</v>
      </c>
      <c r="B64" s="231" t="s">
        <v>159</v>
      </c>
      <c r="C64" s="212"/>
      <c r="D64" s="212"/>
      <c r="E64" s="157"/>
      <c r="F64" s="23"/>
      <c r="G64" s="289" t="e">
        <f>SUM(#REF!)</f>
        <v>#REF!</v>
      </c>
      <c r="H64" s="23"/>
      <c r="I64" s="23"/>
      <c r="J64" s="23"/>
      <c r="K64" s="23"/>
      <c r="L64" s="289">
        <f t="shared" si="0"/>
        <v>0</v>
      </c>
    </row>
    <row r="65" spans="1:12" ht="19.5" hidden="1" customHeight="1">
      <c r="A65" s="29" t="s">
        <v>50</v>
      </c>
      <c r="B65" s="231" t="s">
        <v>159</v>
      </c>
      <c r="C65" s="212"/>
      <c r="D65" s="212"/>
      <c r="E65" s="157"/>
      <c r="F65" s="23"/>
      <c r="G65" s="289" t="e">
        <f>SUM(#REF!)</f>
        <v>#REF!</v>
      </c>
      <c r="H65" s="23"/>
      <c r="I65" s="23"/>
      <c r="J65" s="23"/>
      <c r="K65" s="23"/>
      <c r="L65" s="289">
        <f t="shared" si="0"/>
        <v>0</v>
      </c>
    </row>
    <row r="66" spans="1:12" ht="19.5" customHeight="1">
      <c r="A66" s="321" t="s">
        <v>38</v>
      </c>
      <c r="B66" s="231" t="s">
        <v>160</v>
      </c>
      <c r="C66" s="212"/>
      <c r="D66" s="212"/>
      <c r="E66" s="157"/>
      <c r="F66" s="23"/>
      <c r="G66" s="289">
        <v>16935</v>
      </c>
      <c r="H66" s="23">
        <f>G66/4</f>
        <v>4233.75</v>
      </c>
      <c r="I66" s="23">
        <v>4234</v>
      </c>
      <c r="J66" s="23">
        <v>4234</v>
      </c>
      <c r="K66" s="23">
        <v>4233</v>
      </c>
      <c r="L66" s="289">
        <f t="shared" si="0"/>
        <v>16934.75</v>
      </c>
    </row>
    <row r="67" spans="1:12" ht="19.5" customHeight="1">
      <c r="A67" s="319" t="s">
        <v>87</v>
      </c>
      <c r="B67" s="231" t="s">
        <v>40</v>
      </c>
      <c r="C67" s="212"/>
      <c r="D67" s="212"/>
      <c r="E67" s="160"/>
      <c r="F67" s="23"/>
      <c r="G67" s="289">
        <v>3000</v>
      </c>
      <c r="H67" s="23">
        <v>750</v>
      </c>
      <c r="I67" s="23">
        <v>750</v>
      </c>
      <c r="J67" s="23">
        <v>750</v>
      </c>
      <c r="K67" s="23">
        <v>750</v>
      </c>
      <c r="L67" s="289">
        <f t="shared" si="0"/>
        <v>3000</v>
      </c>
    </row>
    <row r="68" spans="1:12" ht="19.5" customHeight="1">
      <c r="A68" s="321" t="s">
        <v>38</v>
      </c>
      <c r="B68" s="322" t="s">
        <v>66</v>
      </c>
      <c r="C68" s="217"/>
      <c r="D68" s="217"/>
      <c r="E68" s="162"/>
      <c r="F68" s="23"/>
      <c r="G68" s="289">
        <v>28750</v>
      </c>
      <c r="H68" s="23">
        <f t="shared" ref="H68:H69" si="3">G68/4</f>
        <v>7187.5</v>
      </c>
      <c r="I68" s="23">
        <f t="shared" ref="I68:I69" si="4">G68/4</f>
        <v>7187.5</v>
      </c>
      <c r="J68" s="23">
        <f t="shared" ref="J68:J69" si="5">G68/4</f>
        <v>7187.5</v>
      </c>
      <c r="K68" s="23">
        <f t="shared" ref="K68:K69" si="6">G68/4</f>
        <v>7187.5</v>
      </c>
      <c r="L68" s="289">
        <f t="shared" si="0"/>
        <v>28750</v>
      </c>
    </row>
    <row r="69" spans="1:12" ht="19.5" customHeight="1">
      <c r="A69" s="321" t="s">
        <v>51</v>
      </c>
      <c r="B69" s="307" t="s">
        <v>52</v>
      </c>
      <c r="C69" s="217"/>
      <c r="D69" s="217"/>
      <c r="E69" s="162"/>
      <c r="F69" s="23"/>
      <c r="G69" s="289">
        <v>11300</v>
      </c>
      <c r="H69" s="23">
        <f t="shared" si="3"/>
        <v>2825</v>
      </c>
      <c r="I69" s="23">
        <f t="shared" si="4"/>
        <v>2825</v>
      </c>
      <c r="J69" s="23">
        <f t="shared" si="5"/>
        <v>2825</v>
      </c>
      <c r="K69" s="23">
        <f t="shared" si="6"/>
        <v>2825</v>
      </c>
      <c r="L69" s="289">
        <f t="shared" si="0"/>
        <v>11300</v>
      </c>
    </row>
    <row r="70" spans="1:12" ht="19.5" customHeight="1">
      <c r="A70" s="321" t="s">
        <v>38</v>
      </c>
      <c r="B70" s="322" t="s">
        <v>161</v>
      </c>
      <c r="C70" s="217"/>
      <c r="D70" s="217"/>
      <c r="E70" s="162"/>
      <c r="F70" s="23"/>
      <c r="G70" s="289">
        <v>30000</v>
      </c>
      <c r="H70" s="23"/>
      <c r="I70" s="23">
        <v>15000</v>
      </c>
      <c r="J70" s="23">
        <v>15000</v>
      </c>
      <c r="K70" s="23"/>
      <c r="L70" s="289">
        <f t="shared" si="0"/>
        <v>30000</v>
      </c>
    </row>
    <row r="71" spans="1:12" ht="19.5" customHeight="1">
      <c r="A71" s="321" t="s">
        <v>51</v>
      </c>
      <c r="B71" s="307" t="s">
        <v>162</v>
      </c>
      <c r="C71" s="217"/>
      <c r="D71" s="217"/>
      <c r="E71" s="162"/>
      <c r="F71" s="23"/>
      <c r="G71" s="289">
        <v>13500</v>
      </c>
      <c r="H71" s="23"/>
      <c r="I71" s="23">
        <v>6750</v>
      </c>
      <c r="J71" s="23">
        <v>6750</v>
      </c>
      <c r="K71" s="23"/>
      <c r="L71" s="289">
        <f t="shared" si="0"/>
        <v>13500</v>
      </c>
    </row>
    <row r="72" spans="1:12" ht="19.5" customHeight="1" thickBot="1">
      <c r="A72" s="29" t="s">
        <v>54</v>
      </c>
      <c r="B72" s="323" t="s">
        <v>72</v>
      </c>
      <c r="C72" s="129"/>
      <c r="D72" s="129"/>
      <c r="E72" s="157"/>
      <c r="F72" s="23"/>
      <c r="G72" s="289"/>
      <c r="H72" s="23"/>
      <c r="I72" s="23"/>
      <c r="J72" s="23"/>
      <c r="K72" s="23"/>
      <c r="L72" s="289"/>
    </row>
    <row r="73" spans="1:12" ht="19.5" customHeight="1" thickBot="1">
      <c r="A73" s="30"/>
      <c r="B73" s="293" t="s">
        <v>28</v>
      </c>
      <c r="C73" s="324"/>
      <c r="D73" s="147"/>
      <c r="E73" s="165"/>
      <c r="F73" s="23"/>
      <c r="G73" s="289"/>
      <c r="H73" s="23"/>
      <c r="I73" s="23"/>
      <c r="J73" s="23"/>
      <c r="K73" s="23"/>
      <c r="L73" s="289"/>
    </row>
    <row r="74" spans="1:12" ht="19.5" customHeight="1" thickBot="1">
      <c r="A74" s="53" t="s">
        <v>102</v>
      </c>
      <c r="B74" s="310"/>
      <c r="C74" s="310"/>
      <c r="D74" s="148"/>
      <c r="E74" s="143"/>
      <c r="F74" s="55"/>
      <c r="G74" s="311">
        <f>G71+G70+G69+G68+G67+G52+G51+G50+G48+G47+G46+G45+G54+G53+G49+G66</f>
        <v>308007</v>
      </c>
      <c r="H74" s="311">
        <f t="shared" ref="H74:L74" si="7">H71+H70+H69+H68+H67+H52+H51+H50+H48+H47+H46+H45+H54+H53+H49+H66</f>
        <v>35196.25</v>
      </c>
      <c r="I74" s="311">
        <f t="shared" si="7"/>
        <v>56946.5</v>
      </c>
      <c r="J74" s="311">
        <f t="shared" si="7"/>
        <v>118502.5</v>
      </c>
      <c r="K74" s="311">
        <f t="shared" si="7"/>
        <v>97361.5</v>
      </c>
      <c r="L74" s="311">
        <f t="shared" si="7"/>
        <v>308006.75</v>
      </c>
    </row>
    <row r="75" spans="1:12" ht="19.5" customHeight="1">
      <c r="A75" s="139" t="s">
        <v>69</v>
      </c>
      <c r="B75" s="1"/>
      <c r="C75" s="1"/>
      <c r="D75" s="1"/>
      <c r="E75" s="1"/>
      <c r="F75" s="22"/>
      <c r="G75" s="312">
        <f>G37-G74</f>
        <v>-154194</v>
      </c>
      <c r="H75" s="22">
        <f>H37-H74</f>
        <v>-20713.75</v>
      </c>
      <c r="I75" s="22">
        <f>I37-I74</f>
        <v>17419</v>
      </c>
      <c r="J75" s="22">
        <f>J37-J74</f>
        <v>-103520</v>
      </c>
      <c r="K75" s="22">
        <f>K37-K74</f>
        <v>-47379</v>
      </c>
      <c r="L75" s="289">
        <f t="shared" si="0"/>
        <v>-154193.75</v>
      </c>
    </row>
    <row r="76" spans="1:12" ht="19.5" customHeight="1">
      <c r="A76" s="95" t="s">
        <v>55</v>
      </c>
      <c r="B76" s="95"/>
      <c r="C76" s="95"/>
      <c r="D76" s="95"/>
      <c r="E76" s="144"/>
      <c r="F76" s="22"/>
      <c r="G76" s="289">
        <f>+G75</f>
        <v>-154194</v>
      </c>
      <c r="H76" s="23">
        <f t="shared" ref="H76:K76" si="8">+H75</f>
        <v>-20713.75</v>
      </c>
      <c r="I76" s="23">
        <f t="shared" si="8"/>
        <v>17419</v>
      </c>
      <c r="J76" s="23">
        <f t="shared" si="8"/>
        <v>-103520</v>
      </c>
      <c r="K76" s="23">
        <f t="shared" si="8"/>
        <v>-47379</v>
      </c>
      <c r="L76" s="289">
        <f t="shared" si="0"/>
        <v>-154193.75</v>
      </c>
    </row>
    <row r="77" spans="1:12" ht="19.5" customHeight="1" thickBot="1">
      <c r="A77" s="134"/>
      <c r="B77" s="134"/>
      <c r="C77" s="134"/>
      <c r="D77" s="134"/>
      <c r="E77" s="134"/>
      <c r="F77" s="22"/>
      <c r="G77" s="289"/>
      <c r="H77" s="23"/>
      <c r="I77" s="23"/>
      <c r="J77" s="23"/>
      <c r="K77" s="23"/>
      <c r="L77" s="289"/>
    </row>
    <row r="78" spans="1:12" ht="39.75" customHeight="1">
      <c r="A78" s="219" t="s">
        <v>56</v>
      </c>
      <c r="B78" s="842" t="s">
        <v>28</v>
      </c>
      <c r="C78" s="843"/>
      <c r="D78" s="325">
        <v>-35137</v>
      </c>
      <c r="E78" s="221"/>
      <c r="F78" s="222"/>
      <c r="G78" s="326">
        <f>D78+G76+G14-G41</f>
        <v>-177331</v>
      </c>
      <c r="H78" s="222"/>
      <c r="I78" s="222"/>
      <c r="J78" s="222"/>
      <c r="K78" s="222"/>
      <c r="L78" s="289"/>
    </row>
    <row r="79" spans="1:12" ht="43.9" customHeight="1">
      <c r="A79" s="844" t="s">
        <v>93</v>
      </c>
      <c r="B79" s="845"/>
      <c r="C79" s="845"/>
      <c r="D79" s="845"/>
      <c r="E79" s="845"/>
      <c r="F79" s="845"/>
      <c r="G79" s="845"/>
      <c r="H79" s="845"/>
      <c r="I79" s="845"/>
      <c r="J79" s="845"/>
      <c r="K79" s="845"/>
      <c r="L79" s="857"/>
    </row>
    <row r="80" spans="1:12" ht="19.5" customHeight="1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9.5" customHeight="1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9.5" customHeight="1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9.5" customHeight="1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9.5" customHeight="1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9.5" customHeight="1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9.5" customHeight="1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9.5" customHeight="1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9.5" customHeight="1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9.5" customHeight="1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9.5" customHeight="1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9.5" customHeight="1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9.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9.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</sheetData>
  <mergeCells count="7">
    <mergeCell ref="A79:L79"/>
    <mergeCell ref="B46:D46"/>
    <mergeCell ref="B47:D47"/>
    <mergeCell ref="B48:D48"/>
    <mergeCell ref="B49:D49"/>
    <mergeCell ref="B50:D50"/>
    <mergeCell ref="B78:C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2 - Plan de Trésorerie</vt:lpstr>
      <vt:lpstr>INDEX</vt:lpstr>
      <vt:lpstr>TdF Equilibré</vt:lpstr>
      <vt:lpstr>TdF Non Equilibré</vt:lpstr>
      <vt:lpstr>1 - Résultats Prévisionnels</vt:lpstr>
      <vt:lpstr>Données</vt:lpstr>
      <vt:lpstr>Pôle Santé - 2021</vt:lpstr>
      <vt:lpstr>Pôle santé déf 2022</vt:lpstr>
      <vt:lpstr>Pôle Santé - 2022</vt:lpstr>
      <vt:lpstr>Pôle Santé - 2023</vt:lpstr>
      <vt:lpstr>'1 - Résultats Prévisionnels'!Zone_d_impression</vt:lpstr>
      <vt:lpstr>'TdF Equilibré'!Zone_d_impression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Utilisateur Windows</cp:lastModifiedBy>
  <cp:lastPrinted>2022-01-31T12:28:29Z</cp:lastPrinted>
  <dcterms:created xsi:type="dcterms:W3CDTF">2021-07-18T15:55:26Z</dcterms:created>
  <dcterms:modified xsi:type="dcterms:W3CDTF">2022-02-11T18:38:39Z</dcterms:modified>
</cp:coreProperties>
</file>