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9915" activeTab="1"/>
  </bookViews>
  <sheets>
    <sheet name="BP Sophrokhepri" sheetId="1" r:id="rId1"/>
    <sheet name="BP corrigé par JSC 1er oct17" sheetId="2" r:id="rId2"/>
  </sheets>
  <definedNames>
    <definedName name="_xlnm.Print_Area" localSheetId="1">'BP corrigé par JSC 1er oct17'!$A$1:$K$84</definedName>
    <definedName name="_xlnm.Print_Area" localSheetId="0">'BP Sophrokhepri'!$A$2:$K$84</definedName>
  </definedNames>
  <calcPr calcId="145621"/>
</workbook>
</file>

<file path=xl/calcChain.xml><?xml version="1.0" encoding="utf-8"?>
<calcChain xmlns="http://schemas.openxmlformats.org/spreadsheetml/2006/main">
  <c r="O6" i="2" l="1"/>
  <c r="P6" i="2"/>
  <c r="R6" i="2" s="1"/>
  <c r="P7" i="2"/>
  <c r="R7" i="2" s="1"/>
  <c r="P10" i="2"/>
  <c r="R10" i="2"/>
  <c r="P11" i="2"/>
  <c r="R11" i="2"/>
  <c r="H13" i="2" l="1"/>
  <c r="I13" i="2"/>
  <c r="J13" i="2"/>
  <c r="G13" i="2"/>
  <c r="J6" i="2"/>
  <c r="H76" i="2"/>
  <c r="G76" i="2"/>
  <c r="G57" i="2" s="1"/>
  <c r="F76" i="2"/>
  <c r="D74" i="2"/>
  <c r="D77" i="2" s="1"/>
  <c r="J73" i="2"/>
  <c r="I73" i="2"/>
  <c r="H73" i="2"/>
  <c r="G73" i="2"/>
  <c r="F73" i="2"/>
  <c r="D73" i="2"/>
  <c r="D68" i="2"/>
  <c r="H66" i="2"/>
  <c r="I66" i="2" s="1"/>
  <c r="J66" i="2" s="1"/>
  <c r="F66" i="2"/>
  <c r="G66" i="2" s="1"/>
  <c r="D66" i="2"/>
  <c r="D63" i="2"/>
  <c r="F63" i="2" s="1"/>
  <c r="G63" i="2" s="1"/>
  <c r="H63" i="2" s="1"/>
  <c r="I63" i="2" s="1"/>
  <c r="J63" i="2" s="1"/>
  <c r="D62" i="2"/>
  <c r="F62" i="2" s="1"/>
  <c r="G62" i="2" s="1"/>
  <c r="H62" i="2" s="1"/>
  <c r="I62" i="2" s="1"/>
  <c r="J62" i="2" s="1"/>
  <c r="D61" i="2"/>
  <c r="F61" i="2" s="1"/>
  <c r="H57" i="2"/>
  <c r="F57" i="2"/>
  <c r="D57" i="2"/>
  <c r="D56" i="2"/>
  <c r="D55" i="2"/>
  <c r="F55" i="2" s="1"/>
  <c r="G55" i="2" s="1"/>
  <c r="H55" i="2" s="1"/>
  <c r="I55" i="2" s="1"/>
  <c r="J55" i="2" s="1"/>
  <c r="D54" i="2"/>
  <c r="F54" i="2" s="1"/>
  <c r="G54" i="2" s="1"/>
  <c r="H54" i="2" s="1"/>
  <c r="I54" i="2" s="1"/>
  <c r="J54" i="2" s="1"/>
  <c r="R48" i="2"/>
  <c r="S48" i="2" s="1"/>
  <c r="P48" i="2"/>
  <c r="M45" i="2"/>
  <c r="G43" i="2"/>
  <c r="F43" i="2"/>
  <c r="M40" i="2"/>
  <c r="I35" i="2"/>
  <c r="H35" i="2"/>
  <c r="G35" i="2"/>
  <c r="F35" i="2"/>
  <c r="B30" i="2"/>
  <c r="O27" i="2"/>
  <c r="BO35" i="2" s="1"/>
  <c r="H26" i="2"/>
  <c r="I26" i="2" s="1"/>
  <c r="J26" i="2" s="1"/>
  <c r="G26" i="2"/>
  <c r="G25" i="2"/>
  <c r="I25" i="2" s="1"/>
  <c r="F25" i="2"/>
  <c r="H25" i="2" s="1"/>
  <c r="J25" i="2" s="1"/>
  <c r="G24" i="2"/>
  <c r="H24" i="2" s="1"/>
  <c r="I24" i="2" s="1"/>
  <c r="J24" i="2" s="1"/>
  <c r="BO23" i="2"/>
  <c r="BP23" i="2" s="1"/>
  <c r="BJ23" i="2"/>
  <c r="BK23" i="2" s="1"/>
  <c r="BE23" i="2"/>
  <c r="BF23" i="2" s="1"/>
  <c r="AZ23" i="2"/>
  <c r="BA23" i="2" s="1"/>
  <c r="AT23" i="2"/>
  <c r="AU23" i="2" s="1"/>
  <c r="AO23" i="2"/>
  <c r="AP23" i="2" s="1"/>
  <c r="AJ23" i="2"/>
  <c r="AK23" i="2" s="1"/>
  <c r="I23" i="2"/>
  <c r="J23" i="2" s="1"/>
  <c r="G23" i="2"/>
  <c r="H23" i="2" s="1"/>
  <c r="AE22" i="2"/>
  <c r="AF22" i="2" s="1"/>
  <c r="AA22" i="2"/>
  <c r="H22" i="2"/>
  <c r="I22" i="2" s="1"/>
  <c r="J22" i="2" s="1"/>
  <c r="G22" i="2"/>
  <c r="H21" i="2"/>
  <c r="I21" i="2" s="1"/>
  <c r="J21" i="2" s="1"/>
  <c r="G21" i="2"/>
  <c r="J20" i="2"/>
  <c r="I20" i="2"/>
  <c r="P19" i="2"/>
  <c r="J76" i="2"/>
  <c r="J57" i="2" s="1"/>
  <c r="I18" i="2"/>
  <c r="J18" i="2" s="1"/>
  <c r="G18" i="2"/>
  <c r="H18" i="2" s="1"/>
  <c r="BJ17" i="2"/>
  <c r="BK17" i="2" s="1"/>
  <c r="AZ17" i="2"/>
  <c r="BA17" i="2" s="1"/>
  <c r="AO17" i="2"/>
  <c r="AP17" i="2" s="1"/>
  <c r="G17" i="2"/>
  <c r="H17" i="2" s="1"/>
  <c r="I17" i="2" s="1"/>
  <c r="J17" i="2" s="1"/>
  <c r="AE16" i="2"/>
  <c r="AF16" i="2" s="1"/>
  <c r="Z16" i="2"/>
  <c r="AA16" i="2" s="1"/>
  <c r="F16" i="2"/>
  <c r="G16" i="2" s="1"/>
  <c r="G15" i="2"/>
  <c r="P14" i="2"/>
  <c r="R14" i="2" s="1"/>
  <c r="D8" i="2" s="1"/>
  <c r="G14" i="2"/>
  <c r="G74" i="2" s="1"/>
  <c r="G65" i="2" s="1"/>
  <c r="F14" i="2"/>
  <c r="F32" i="2" s="1"/>
  <c r="I12" i="2"/>
  <c r="J12" i="2" s="1"/>
  <c r="G12" i="2"/>
  <c r="H12" i="2" s="1"/>
  <c r="D12" i="2"/>
  <c r="BQ11" i="2"/>
  <c r="BP11" i="2" s="1"/>
  <c r="BL11" i="2"/>
  <c r="BK11" i="2"/>
  <c r="BG11" i="2"/>
  <c r="BF11" i="2" s="1"/>
  <c r="BB11" i="2"/>
  <c r="AV11" i="2"/>
  <c r="AU11" i="2" s="1"/>
  <c r="BA11" i="2" s="1"/>
  <c r="AQ11" i="2"/>
  <c r="AP11" i="2"/>
  <c r="AL11" i="2"/>
  <c r="AC11" i="2"/>
  <c r="J11" i="2"/>
  <c r="H11" i="2"/>
  <c r="I11" i="2" s="1"/>
  <c r="G11" i="2"/>
  <c r="AG10" i="2"/>
  <c r="AF10" i="2" s="1"/>
  <c r="AB10" i="2"/>
  <c r="AB36" i="2" s="1"/>
  <c r="AA10" i="2"/>
  <c r="AK11" i="2" s="1"/>
  <c r="H10" i="2"/>
  <c r="I10" i="2" s="1"/>
  <c r="J10" i="2" s="1"/>
  <c r="D10" i="2"/>
  <c r="G9" i="2"/>
  <c r="H9" i="2" s="1"/>
  <c r="I9" i="2" s="1"/>
  <c r="J9" i="2" s="1"/>
  <c r="G8" i="2"/>
  <c r="H8" i="2" s="1"/>
  <c r="I8" i="2" s="1"/>
  <c r="J8" i="2" s="1"/>
  <c r="BQ7" i="2"/>
  <c r="BP7" i="2" s="1"/>
  <c r="BL7" i="2"/>
  <c r="BK7" i="2"/>
  <c r="BG7" i="2"/>
  <c r="BF7" i="2" s="1"/>
  <c r="BB7" i="2"/>
  <c r="AV7" i="2"/>
  <c r="AU7" i="2" s="1"/>
  <c r="BA7" i="2" s="1"/>
  <c r="AQ7" i="2"/>
  <c r="Z10" i="2"/>
  <c r="AE10" i="2" s="1"/>
  <c r="I7" i="2"/>
  <c r="J7" i="2" s="1"/>
  <c r="G7" i="2"/>
  <c r="H7" i="2" s="1"/>
  <c r="AG6" i="2"/>
  <c r="AF6" i="2"/>
  <c r="AB6" i="2"/>
  <c r="AL7" i="2" s="1"/>
  <c r="AP7" i="2" s="1"/>
  <c r="Z6" i="2"/>
  <c r="AE6" i="2" s="1"/>
  <c r="H6" i="2"/>
  <c r="G6" i="2"/>
  <c r="D6" i="2"/>
  <c r="D14" i="2" s="1"/>
  <c r="D32" i="2" s="1"/>
  <c r="D33" i="2" s="1"/>
  <c r="A3" i="2"/>
  <c r="A1" i="2"/>
  <c r="AJ7" i="2" l="1"/>
  <c r="AO7" i="2" s="1"/>
  <c r="AT7" i="2" s="1"/>
  <c r="AZ7" i="2" s="1"/>
  <c r="BE7" i="2" s="1"/>
  <c r="BJ7" i="2" s="1"/>
  <c r="BO7" i="2" s="1"/>
  <c r="D37" i="2"/>
  <c r="F13" i="2"/>
  <c r="D53" i="2"/>
  <c r="D40" i="2"/>
  <c r="D50" i="2" s="1"/>
  <c r="D78" i="2"/>
  <c r="D44" i="2" s="1"/>
  <c r="AJ11" i="2"/>
  <c r="AO11" i="2" s="1"/>
  <c r="AT11" i="2" s="1"/>
  <c r="AZ11" i="2" s="1"/>
  <c r="BE11" i="2" s="1"/>
  <c r="BJ11" i="2" s="1"/>
  <c r="BO11" i="2" s="1"/>
  <c r="G28" i="2"/>
  <c r="G61" i="2" s="1"/>
  <c r="G75" i="2"/>
  <c r="G56" i="2" s="1"/>
  <c r="H14" i="2"/>
  <c r="I6" i="2"/>
  <c r="F37" i="2"/>
  <c r="F40" i="2" s="1"/>
  <c r="F33" i="2"/>
  <c r="AA6" i="2"/>
  <c r="AK7" i="2" s="1"/>
  <c r="AE34" i="2"/>
  <c r="AO35" i="2"/>
  <c r="AZ35" i="2"/>
  <c r="BJ35" i="2"/>
  <c r="F74" i="2"/>
  <c r="F65" i="2" s="1"/>
  <c r="F75" i="2"/>
  <c r="F56" i="2" s="1"/>
  <c r="I76" i="2"/>
  <c r="I57" i="2" s="1"/>
  <c r="H15" i="2"/>
  <c r="P27" i="2"/>
  <c r="Z34" i="2"/>
  <c r="AJ35" i="2"/>
  <c r="AT35" i="2"/>
  <c r="BE35" i="2"/>
  <c r="F43" i="1"/>
  <c r="H28" i="2" l="1"/>
  <c r="H61" i="2" s="1"/>
  <c r="H74" i="2"/>
  <c r="D70" i="2"/>
  <c r="H75" i="2"/>
  <c r="H56" i="2" s="1"/>
  <c r="I15" i="2"/>
  <c r="G32" i="2"/>
  <c r="F53" i="2"/>
  <c r="D59" i="2"/>
  <c r="D69" i="2" s="1"/>
  <c r="BF26" i="2"/>
  <c r="Q33" i="2"/>
  <c r="BA26" i="2"/>
  <c r="AF25" i="2"/>
  <c r="BP26" i="2"/>
  <c r="AU26" i="2"/>
  <c r="AA25" i="2"/>
  <c r="AK26" i="2" s="1"/>
  <c r="BK26" i="2"/>
  <c r="AP26" i="2"/>
  <c r="Q27" i="2"/>
  <c r="F77" i="2"/>
  <c r="I14" i="2"/>
  <c r="J14" i="2"/>
  <c r="G77" i="2"/>
  <c r="I20" i="1"/>
  <c r="J20" i="1" s="1"/>
  <c r="G17" i="1"/>
  <c r="H17" i="1" s="1"/>
  <c r="I17" i="1" s="1"/>
  <c r="J17" i="1" s="1"/>
  <c r="G25" i="1"/>
  <c r="I25" i="1" s="1"/>
  <c r="H25" i="1"/>
  <c r="J25" i="1" s="1"/>
  <c r="F25" i="1"/>
  <c r="G23" i="1"/>
  <c r="H23" i="1" s="1"/>
  <c r="I23" i="1" s="1"/>
  <c r="J23" i="1" s="1"/>
  <c r="G15" i="1"/>
  <c r="G21" i="1"/>
  <c r="H21" i="1" s="1"/>
  <c r="I21" i="1" s="1"/>
  <c r="J21" i="1" s="1"/>
  <c r="H32" i="2" l="1"/>
  <c r="H37" i="2" s="1"/>
  <c r="H40" i="2" s="1"/>
  <c r="F59" i="2"/>
  <c r="I28" i="2"/>
  <c r="I61" i="2" s="1"/>
  <c r="BK35" i="2"/>
  <c r="BA35" i="2"/>
  <c r="AP35" i="2"/>
  <c r="AF34" i="2"/>
  <c r="BP35" i="2"/>
  <c r="AA34" i="2"/>
  <c r="BF35" i="2"/>
  <c r="AK35" i="2"/>
  <c r="AU35" i="2"/>
  <c r="G37" i="2"/>
  <c r="G40" i="2" s="1"/>
  <c r="G33" i="2"/>
  <c r="J74" i="2"/>
  <c r="I75" i="2"/>
  <c r="I56" i="2" s="1"/>
  <c r="J15" i="2"/>
  <c r="J75" i="2" s="1"/>
  <c r="J56" i="2" s="1"/>
  <c r="G78" i="2"/>
  <c r="G44" i="2" s="1"/>
  <c r="F78" i="2"/>
  <c r="F44" i="2" s="1"/>
  <c r="F50" i="2" s="1"/>
  <c r="I74" i="2"/>
  <c r="H65" i="2"/>
  <c r="H77" i="2"/>
  <c r="H78" i="2" s="1"/>
  <c r="H44" i="2" s="1"/>
  <c r="G6" i="1"/>
  <c r="H6" i="1" s="1"/>
  <c r="I6" i="1" s="1"/>
  <c r="J6" i="1" s="1"/>
  <c r="G8" i="1"/>
  <c r="H8" i="1" s="1"/>
  <c r="I8" i="1" s="1"/>
  <c r="J8" i="1" s="1"/>
  <c r="G12" i="1"/>
  <c r="H12" i="1" s="1"/>
  <c r="I12" i="1" s="1"/>
  <c r="J12" i="1" s="1"/>
  <c r="H10" i="1"/>
  <c r="I10" i="1" s="1"/>
  <c r="J10" i="1" s="1"/>
  <c r="G7" i="1"/>
  <c r="H7" i="1" s="1"/>
  <c r="I7" i="1" s="1"/>
  <c r="J7" i="1" s="1"/>
  <c r="G9" i="1"/>
  <c r="H9" i="1" s="1"/>
  <c r="I9" i="1" s="1"/>
  <c r="J9" i="1" s="1"/>
  <c r="G11" i="1"/>
  <c r="H11" i="1" s="1"/>
  <c r="I11" i="1" s="1"/>
  <c r="J11" i="1" s="1"/>
  <c r="H15" i="1"/>
  <c r="I15" i="1" s="1"/>
  <c r="J15" i="1" s="1"/>
  <c r="H33" i="2" l="1"/>
  <c r="I32" i="2"/>
  <c r="I33" i="2" s="1"/>
  <c r="J28" i="2"/>
  <c r="J32" i="2" s="1"/>
  <c r="I65" i="2"/>
  <c r="I77" i="2"/>
  <c r="J65" i="2"/>
  <c r="J77" i="2"/>
  <c r="I36" i="2"/>
  <c r="I37" i="2" s="1"/>
  <c r="I40" i="2" s="1"/>
  <c r="G53" i="2"/>
  <c r="F67" i="2"/>
  <c r="G50" i="2"/>
  <c r="G14" i="1"/>
  <c r="J61" i="2" l="1"/>
  <c r="H50" i="2"/>
  <c r="G67" i="2"/>
  <c r="J36" i="2"/>
  <c r="J37" i="2" s="1"/>
  <c r="J40" i="2" s="1"/>
  <c r="J33" i="2"/>
  <c r="G59" i="2"/>
  <c r="H53" i="2"/>
  <c r="F70" i="2"/>
  <c r="F68" i="2"/>
  <c r="F69" i="2" s="1"/>
  <c r="J78" i="2"/>
  <c r="J44" i="2" s="1"/>
  <c r="I78" i="2"/>
  <c r="I44" i="2" s="1"/>
  <c r="D57" i="1"/>
  <c r="D56" i="1"/>
  <c r="F76" i="1"/>
  <c r="F57" i="1" s="1"/>
  <c r="G74" i="1"/>
  <c r="G65" i="1" s="1"/>
  <c r="D66" i="1"/>
  <c r="F66" i="1" s="1"/>
  <c r="G66" i="1" s="1"/>
  <c r="H66" i="1" s="1"/>
  <c r="I66" i="1" s="1"/>
  <c r="J66" i="1" s="1"/>
  <c r="J43" i="1"/>
  <c r="I43" i="1"/>
  <c r="H43" i="1"/>
  <c r="G43" i="1"/>
  <c r="H35" i="1"/>
  <c r="G35" i="1"/>
  <c r="F35" i="1"/>
  <c r="I35" i="1"/>
  <c r="D62" i="1"/>
  <c r="F62" i="1" s="1"/>
  <c r="G62" i="1" s="1"/>
  <c r="H62" i="1" s="1"/>
  <c r="I62" i="1" s="1"/>
  <c r="J62" i="1" s="1"/>
  <c r="D61" i="1"/>
  <c r="D73" i="1"/>
  <c r="D63" i="1"/>
  <c r="F63" i="1" s="1"/>
  <c r="G63" i="1" s="1"/>
  <c r="H63" i="1" s="1"/>
  <c r="I63" i="1" s="1"/>
  <c r="J63" i="1" s="1"/>
  <c r="D55" i="1"/>
  <c r="F55" i="1" s="1"/>
  <c r="G55" i="1" s="1"/>
  <c r="D54" i="1"/>
  <c r="F54" i="1" s="1"/>
  <c r="G54" i="1" s="1"/>
  <c r="H54" i="1" s="1"/>
  <c r="I54" i="1" s="1"/>
  <c r="J54" i="1" s="1"/>
  <c r="D74" i="1"/>
  <c r="H59" i="2" l="1"/>
  <c r="I53" i="2"/>
  <c r="G70" i="2"/>
  <c r="G68" i="2"/>
  <c r="G69" i="2" s="1"/>
  <c r="H67" i="2"/>
  <c r="I50" i="2"/>
  <c r="H55" i="1"/>
  <c r="I55" i="1" s="1"/>
  <c r="J55" i="1" s="1"/>
  <c r="G22" i="1"/>
  <c r="I67" i="2" l="1"/>
  <c r="J50" i="2"/>
  <c r="J67" i="2" s="1"/>
  <c r="J53" i="2"/>
  <c r="J59" i="2" s="1"/>
  <c r="I59" i="2"/>
  <c r="H70" i="2"/>
  <c r="H68" i="2"/>
  <c r="H69" i="2" s="1"/>
  <c r="B30" i="1"/>
  <c r="J70" i="2" l="1"/>
  <c r="J68" i="2"/>
  <c r="J69" i="2" s="1"/>
  <c r="I70" i="2"/>
  <c r="I68" i="2"/>
  <c r="I69" i="2" s="1"/>
  <c r="AB10" i="1"/>
  <c r="AB6" i="1"/>
  <c r="AC11" i="1"/>
  <c r="AB36" i="1" l="1"/>
  <c r="AA22" i="1"/>
  <c r="P14" i="1"/>
  <c r="G26" i="1"/>
  <c r="G24" i="1"/>
  <c r="J14" i="1"/>
  <c r="J74" i="1" s="1"/>
  <c r="J65" i="1" s="1"/>
  <c r="BO23" i="1"/>
  <c r="BP23" i="1" s="1"/>
  <c r="BJ23" i="1"/>
  <c r="BK23" i="1" s="1"/>
  <c r="BQ11" i="1"/>
  <c r="BL11" i="1"/>
  <c r="BQ7" i="1"/>
  <c r="BL7" i="1"/>
  <c r="I14" i="1"/>
  <c r="I74" i="1" s="1"/>
  <c r="I65" i="1" s="1"/>
  <c r="BE23" i="1"/>
  <c r="BF23" i="1" s="1"/>
  <c r="BG11" i="1"/>
  <c r="BG7" i="1"/>
  <c r="AZ23" i="1"/>
  <c r="BA23" i="1" s="1"/>
  <c r="BB11" i="1"/>
  <c r="BB7" i="1"/>
  <c r="H14" i="1"/>
  <c r="H74" i="1" s="1"/>
  <c r="H65" i="1" s="1"/>
  <c r="AT23" i="1"/>
  <c r="AU23" i="1" s="1"/>
  <c r="AV11" i="1"/>
  <c r="AV7" i="1"/>
  <c r="AO23" i="1"/>
  <c r="AP23" i="1" s="1"/>
  <c r="AQ11" i="1"/>
  <c r="AQ7" i="1"/>
  <c r="AU7" i="1" s="1"/>
  <c r="BA7" i="1" s="1"/>
  <c r="AL11" i="1"/>
  <c r="AL7" i="1"/>
  <c r="AJ23" i="1"/>
  <c r="AK23" i="1" s="1"/>
  <c r="AE22" i="1"/>
  <c r="AF22" i="1" s="1"/>
  <c r="AG10" i="1"/>
  <c r="AF10" i="1" s="1"/>
  <c r="AG6" i="1"/>
  <c r="AF6" i="1" s="1"/>
  <c r="X6" i="1"/>
  <c r="AA10" i="1" s="1"/>
  <c r="AK11" i="1" s="1"/>
  <c r="P11" i="1"/>
  <c r="X10" i="1"/>
  <c r="AA6" i="1" s="1"/>
  <c r="AK7" i="1" s="1"/>
  <c r="D12" i="1"/>
  <c r="D10" i="1"/>
  <c r="D6" i="1"/>
  <c r="X5" i="1"/>
  <c r="X9" i="1"/>
  <c r="P7" i="1"/>
  <c r="R7" i="1" s="1"/>
  <c r="AP7" i="1" l="1"/>
  <c r="BF7" i="1"/>
  <c r="Z10" i="1"/>
  <c r="AJ11" i="1" s="1"/>
  <c r="AO11" i="1" s="1"/>
  <c r="AT11" i="1" s="1"/>
  <c r="AZ11" i="1" s="1"/>
  <c r="BE11" i="1" s="1"/>
  <c r="BJ11" i="1" s="1"/>
  <c r="BO11" i="1" s="1"/>
  <c r="BK7" i="1"/>
  <c r="R11" i="1"/>
  <c r="BK11" i="1"/>
  <c r="BP7" i="1"/>
  <c r="AU11" i="1"/>
  <c r="BA11" i="1" s="1"/>
  <c r="Z6" i="1"/>
  <c r="BF11" i="1"/>
  <c r="BP11" i="1"/>
  <c r="AP11" i="1"/>
  <c r="AE10" i="1" l="1"/>
  <c r="AJ7" i="1"/>
  <c r="AO7" i="1" s="1"/>
  <c r="AT7" i="1" s="1"/>
  <c r="AZ7" i="1" s="1"/>
  <c r="BE7" i="1" s="1"/>
  <c r="BJ7" i="1" s="1"/>
  <c r="BO7" i="1" s="1"/>
  <c r="AE6" i="1"/>
  <c r="O6" i="1"/>
  <c r="P10" i="1" l="1"/>
  <c r="P6" i="1"/>
  <c r="V6" i="1" s="1"/>
  <c r="R10" i="1" l="1"/>
  <c r="V10" i="1"/>
  <c r="O27" i="1" l="1"/>
  <c r="G76" i="1"/>
  <c r="G57" i="1" s="1"/>
  <c r="R14" i="1"/>
  <c r="D8" i="1" s="1"/>
  <c r="P48" i="1"/>
  <c r="F16" i="1"/>
  <c r="G16" i="1" l="1"/>
  <c r="BJ35" i="1"/>
  <c r="AT35" i="1"/>
  <c r="AO35" i="1"/>
  <c r="AE34" i="1"/>
  <c r="AJ35" i="1"/>
  <c r="BO35" i="1"/>
  <c r="BE35" i="1"/>
  <c r="AZ35" i="1"/>
  <c r="AZ17" i="1"/>
  <c r="BA17" i="1" s="1"/>
  <c r="AO17" i="1"/>
  <c r="AP17" i="1" s="1"/>
  <c r="AE16" i="1"/>
  <c r="AF16" i="1" s="1"/>
  <c r="BJ17" i="1"/>
  <c r="BK17" i="1" s="1"/>
  <c r="Z34" i="1"/>
  <c r="R48" i="1"/>
  <c r="S48" i="1" s="1"/>
  <c r="Z16" i="1"/>
  <c r="AA16" i="1" s="1"/>
  <c r="P27" i="1"/>
  <c r="BP26" i="1" l="1"/>
  <c r="BA26" i="1"/>
  <c r="AA25" i="1"/>
  <c r="AK26" i="1" s="1"/>
  <c r="BK26" i="1"/>
  <c r="BF26" i="1"/>
  <c r="AF25" i="1"/>
  <c r="AP26" i="1"/>
  <c r="AU26" i="1"/>
  <c r="Q27" i="1"/>
  <c r="Q33" i="1"/>
  <c r="BF35" i="1" l="1"/>
  <c r="BK35" i="1"/>
  <c r="AP35" i="1"/>
  <c r="BP35" i="1"/>
  <c r="AU35" i="1"/>
  <c r="AA34" i="1"/>
  <c r="AK35" i="1"/>
  <c r="BA35" i="1"/>
  <c r="AF34" i="1"/>
  <c r="M40" i="1"/>
  <c r="M45" i="1"/>
  <c r="F75" i="1" l="1"/>
  <c r="F56" i="1" s="1"/>
  <c r="G18" i="1" l="1"/>
  <c r="G75" i="1" s="1"/>
  <c r="G56" i="1" s="1"/>
  <c r="P19" i="1"/>
  <c r="A1" i="1"/>
  <c r="A3" i="1" s="1"/>
  <c r="H76" i="1" l="1"/>
  <c r="H57" i="1" s="1"/>
  <c r="H24" i="1"/>
  <c r="I19" i="1"/>
  <c r="H26" i="1"/>
  <c r="H18" i="1"/>
  <c r="R6" i="1"/>
  <c r="I76" i="1" l="1"/>
  <c r="I57" i="1" s="1"/>
  <c r="I24" i="1"/>
  <c r="J24" i="1" s="1"/>
  <c r="J19" i="1"/>
  <c r="D14" i="1"/>
  <c r="D32" i="1" s="1"/>
  <c r="F61" i="1"/>
  <c r="H22" i="1"/>
  <c r="H75" i="1" s="1"/>
  <c r="H56" i="1" s="1"/>
  <c r="I18" i="1"/>
  <c r="I26" i="1"/>
  <c r="J76" i="1" l="1"/>
  <c r="J57" i="1" s="1"/>
  <c r="D37" i="1"/>
  <c r="D40" i="1" s="1"/>
  <c r="D33" i="1"/>
  <c r="J26" i="1"/>
  <c r="J18" i="1"/>
  <c r="I22" i="1"/>
  <c r="I75" i="1" s="1"/>
  <c r="I56" i="1" s="1"/>
  <c r="D53" i="1" l="1"/>
  <c r="J22" i="1"/>
  <c r="J75" i="1" s="1"/>
  <c r="J56" i="1" s="1"/>
  <c r="G28" i="1"/>
  <c r="F14" i="1"/>
  <c r="F74" i="1" l="1"/>
  <c r="F65" i="1" s="1"/>
  <c r="F32" i="1"/>
  <c r="G61" i="1"/>
  <c r="G32" i="1"/>
  <c r="H28" i="1" l="1"/>
  <c r="H61" i="1" l="1"/>
  <c r="H32" i="1"/>
  <c r="F37" i="1" l="1"/>
  <c r="I28" i="1"/>
  <c r="I61" i="1" l="1"/>
  <c r="I32" i="1"/>
  <c r="F53" i="1"/>
  <c r="F59" i="1" l="1"/>
  <c r="F40" i="1"/>
  <c r="J28" i="1"/>
  <c r="F33" i="1"/>
  <c r="J61" i="1" l="1"/>
  <c r="J32" i="1"/>
  <c r="G37" i="1" l="1"/>
  <c r="G53" i="1" s="1"/>
  <c r="G59" i="1" s="1"/>
  <c r="G33" i="1"/>
  <c r="D68" i="1" l="1"/>
  <c r="H37" i="1"/>
  <c r="H53" i="1" s="1"/>
  <c r="H59" i="1" l="1"/>
  <c r="G40" i="1"/>
  <c r="H33" i="1"/>
  <c r="H40" i="1" l="1"/>
  <c r="I36" i="1" l="1"/>
  <c r="I37" i="1" s="1"/>
  <c r="I53" i="1" s="1"/>
  <c r="I33" i="1"/>
  <c r="I59" i="1" l="1"/>
  <c r="J36" i="1" l="1"/>
  <c r="J37" i="1" s="1"/>
  <c r="J53" i="1" s="1"/>
  <c r="J59" i="1" s="1"/>
  <c r="I40" i="1"/>
  <c r="J33" i="1"/>
  <c r="J40" i="1" l="1"/>
  <c r="H73" i="1" l="1"/>
  <c r="H77" i="1" s="1"/>
  <c r="I73" i="1" l="1"/>
  <c r="I77" i="1" s="1"/>
  <c r="I78" i="1" l="1"/>
  <c r="I44" i="1" s="1"/>
  <c r="F73" i="1" l="1"/>
  <c r="F77" i="1" s="1"/>
  <c r="J73" i="1" l="1"/>
  <c r="J77" i="1" s="1"/>
  <c r="J78" i="1" s="1"/>
  <c r="J44" i="1" s="1"/>
  <c r="G73" i="1"/>
  <c r="G77" i="1" s="1"/>
  <c r="H78" i="1" l="1"/>
  <c r="H44" i="1" s="1"/>
  <c r="G78" i="1"/>
  <c r="G44" i="1" s="1"/>
  <c r="D59" i="1" l="1"/>
  <c r="D77" i="1"/>
  <c r="F78" i="1" s="1"/>
  <c r="F44" i="1" s="1"/>
  <c r="D69" i="1" l="1"/>
  <c r="D78" i="1"/>
  <c r="D44" i="1" s="1"/>
  <c r="D50" i="1" l="1"/>
  <c r="F50" i="1" s="1"/>
  <c r="F67" i="1" l="1"/>
  <c r="G50" i="1"/>
  <c r="D70" i="1"/>
  <c r="F68" i="1" l="1"/>
  <c r="F70" i="1"/>
  <c r="G67" i="1"/>
  <c r="H50" i="1"/>
  <c r="F69" i="1" l="1"/>
  <c r="H67" i="1"/>
  <c r="I50" i="1"/>
  <c r="G70" i="1"/>
  <c r="G68" i="1"/>
  <c r="G69" i="1" l="1"/>
  <c r="I67" i="1"/>
  <c r="J50" i="1"/>
  <c r="J67" i="1" s="1"/>
  <c r="H70" i="1"/>
  <c r="H68" i="1"/>
  <c r="J70" i="1" l="1"/>
  <c r="J68" i="1"/>
  <c r="J69" i="1" s="1"/>
  <c r="H69" i="1"/>
  <c r="I68" i="1"/>
  <c r="I70" i="1"/>
  <c r="I69" i="1" l="1"/>
</calcChain>
</file>

<file path=xl/sharedStrings.xml><?xml version="1.0" encoding="utf-8"?>
<sst xmlns="http://schemas.openxmlformats.org/spreadsheetml/2006/main" count="930" uniqueCount="219">
  <si>
    <t>Total CA</t>
  </si>
  <si>
    <t>taux</t>
  </si>
  <si>
    <t>prix/f/an</t>
  </si>
  <si>
    <t>salles</t>
  </si>
  <si>
    <t>Commissions de portage salarial</t>
  </si>
  <si>
    <t>salaires</t>
  </si>
  <si>
    <t>com</t>
  </si>
  <si>
    <t>BFR</t>
  </si>
  <si>
    <t>REX</t>
  </si>
  <si>
    <t>Except</t>
  </si>
  <si>
    <t>IS</t>
  </si>
  <si>
    <t>RN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</si>
  <si>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</si>
  <si>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</si>
  <si>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</si>
  <si>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</si>
  <si>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</si>
  <si>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</si>
  <si>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</si>
  <si>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</si>
  <si>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</si>
  <si>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</si>
  <si>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</si>
  <si>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</si>
  <si>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</si>
  <si>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</si>
  <si>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</si>
  <si>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</si>
  <si>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</si>
  <si>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</si>
  <si>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</si>
  <si>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</si>
  <si>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</si>
  <si>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</si>
  <si>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</si>
  <si>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</si>
  <si>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</si>
  <si>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</si>
  <si>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</si>
  <si>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</si>
  <si>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</si>
  <si>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</si>
  <si>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</si>
  <si>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</si>
  <si>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EVELYNE</t>
  </si>
  <si>
    <t>AUTRES</t>
  </si>
  <si>
    <t>CAPITAL</t>
  </si>
  <si>
    <t>Evelyne</t>
  </si>
  <si>
    <t>Autres</t>
  </si>
  <si>
    <t>total</t>
  </si>
  <si>
    <t>Cptes financement</t>
  </si>
  <si>
    <t>CPTES EXPLOITATION</t>
  </si>
  <si>
    <t xml:space="preserve">BUSINESS PLAN KHEPRISANTE </t>
  </si>
  <si>
    <t>Ca propres</t>
  </si>
  <si>
    <t>2015/2016</t>
  </si>
  <si>
    <t>2016/2017</t>
  </si>
  <si>
    <t>2017/2018</t>
  </si>
  <si>
    <t>2018/2019</t>
  </si>
  <si>
    <t>2019/2020</t>
  </si>
  <si>
    <t>community manager</t>
  </si>
  <si>
    <t>total h/mois</t>
  </si>
  <si>
    <t>nbre h/An</t>
  </si>
  <si>
    <t>vendu</t>
  </si>
  <si>
    <t>nbre souhaité</t>
  </si>
  <si>
    <t>prix /annuel</t>
  </si>
  <si>
    <t xml:space="preserve">Adhésion au centre </t>
  </si>
  <si>
    <t>C.A Evelyne</t>
  </si>
  <si>
    <t>visite /annuelle</t>
  </si>
  <si>
    <t>taux reel</t>
  </si>
  <si>
    <t>CA vendu</t>
  </si>
  <si>
    <t xml:space="preserve">Patients/Mois </t>
  </si>
  <si>
    <t>prix/Annuel</t>
  </si>
  <si>
    <t>Taux réel</t>
  </si>
  <si>
    <t>taux réel</t>
  </si>
  <si>
    <t>nbre h/Annuel</t>
  </si>
  <si>
    <t>2015/2016 EVELYNE</t>
  </si>
  <si>
    <t>2016/2017 ADHESION</t>
  </si>
  <si>
    <t>2017/2018 EVELYNE</t>
  </si>
  <si>
    <t>2017/2018 ADHESION</t>
  </si>
  <si>
    <t>2018/2019 EVELYNE</t>
  </si>
  <si>
    <t>2018/2019 ADHESION</t>
  </si>
  <si>
    <t>2019/2020 EVELYNE</t>
  </si>
  <si>
    <t>2019/2020 ADHESION</t>
  </si>
  <si>
    <t xml:space="preserve">tx d'occupation </t>
  </si>
  <si>
    <t>MAD intervenant fixe salle 2</t>
  </si>
  <si>
    <t xml:space="preserve">8 salles </t>
  </si>
  <si>
    <t>6 jours/semaines</t>
  </si>
  <si>
    <t>total 1728 h/mois</t>
  </si>
  <si>
    <t>soit 19008 h/An</t>
  </si>
  <si>
    <t>nbre h/An à 100%</t>
  </si>
  <si>
    <t>prix horaire</t>
  </si>
  <si>
    <t>tx d'occupation plein</t>
  </si>
  <si>
    <t xml:space="preserve">CA prévisionnel </t>
  </si>
  <si>
    <t>total h/mois à 100%</t>
  </si>
  <si>
    <t>MAD intervenant fixe salle 1</t>
  </si>
  <si>
    <t>coworking</t>
  </si>
  <si>
    <t>prix loyer fixe</t>
  </si>
  <si>
    <t>Montant/mois</t>
  </si>
  <si>
    <t>prix horaire =</t>
  </si>
  <si>
    <t>PLEIN</t>
  </si>
  <si>
    <t>REEL</t>
  </si>
  <si>
    <t xml:space="preserve"> A vendre</t>
  </si>
  <si>
    <t>Résultat K€</t>
  </si>
  <si>
    <t>2020/2021</t>
  </si>
  <si>
    <t>2016/2017 Forfait</t>
  </si>
  <si>
    <t>MAD forfait</t>
  </si>
  <si>
    <t>2016/2017 FIXE salle 1</t>
  </si>
  <si>
    <t>2016/2017 FIXE salle 2</t>
  </si>
  <si>
    <t>nombre hr Annuel</t>
  </si>
  <si>
    <t>2017/2018  FIXE salle 1</t>
  </si>
  <si>
    <t>2017/2018 FIXE salle 2</t>
  </si>
  <si>
    <t>2017/2018 Forfait</t>
  </si>
  <si>
    <t>Khepri santé 1</t>
  </si>
  <si>
    <t>Khepri santé 2</t>
  </si>
  <si>
    <t xml:space="preserve">Centre Nogent </t>
  </si>
  <si>
    <t xml:space="preserve">Seconde centre </t>
  </si>
  <si>
    <t>2018/2019  FIXE salle 1</t>
  </si>
  <si>
    <t>2018/2019 FIXE salle 2</t>
  </si>
  <si>
    <t>2018/2019 Forfait</t>
  </si>
  <si>
    <t>7 300 €</t>
  </si>
  <si>
    <t>8 103 €</t>
  </si>
  <si>
    <t>8 994 €</t>
  </si>
  <si>
    <t>9 984 €</t>
  </si>
  <si>
    <t>11 082 €</t>
  </si>
  <si>
    <t>12 301 €</t>
  </si>
  <si>
    <t>1 087</t>
  </si>
  <si>
    <t>13 654 €</t>
  </si>
  <si>
    <t>1 206</t>
  </si>
  <si>
    <t>15 156 €</t>
  </si>
  <si>
    <t>1 339</t>
  </si>
  <si>
    <t>16 823 €</t>
  </si>
  <si>
    <t>1 486</t>
  </si>
  <si>
    <t>18 674 €</t>
  </si>
  <si>
    <t>1 650</t>
  </si>
  <si>
    <t>20 728 €</t>
  </si>
  <si>
    <t>1 831</t>
  </si>
  <si>
    <t>23 008 €</t>
  </si>
  <si>
    <t>2 033</t>
  </si>
  <si>
    <t>25 539 €</t>
  </si>
  <si>
    <t>2 256</t>
  </si>
  <si>
    <t>28 348 €</t>
  </si>
  <si>
    <t>2 504</t>
  </si>
  <si>
    <t>31 466 €</t>
  </si>
  <si>
    <t>2 780</t>
  </si>
  <si>
    <t>34 927 €</t>
  </si>
  <si>
    <t>3 086</t>
  </si>
  <si>
    <t>38 769 €</t>
  </si>
  <si>
    <t>3 425</t>
  </si>
  <si>
    <t>43 034 €</t>
  </si>
  <si>
    <t>3 802</t>
  </si>
  <si>
    <t>47 768 €</t>
  </si>
  <si>
    <t>4 220</t>
  </si>
  <si>
    <t>53 022 €</t>
  </si>
  <si>
    <t>4 684</t>
  </si>
  <si>
    <t>2019/2020  FIXE salle 1</t>
  </si>
  <si>
    <t>2019/2020 FIXE salle 2</t>
  </si>
  <si>
    <t>2019/2020 Forfait</t>
  </si>
  <si>
    <t xml:space="preserve">Second Centre  </t>
  </si>
  <si>
    <t>2020/2021  FIXE salle 1</t>
  </si>
  <si>
    <t>2020/2021 FIXE salle 2</t>
  </si>
  <si>
    <t>2020/2021 EVELYNE</t>
  </si>
  <si>
    <t>2020/2021 ADHESION</t>
  </si>
  <si>
    <t>2020/2021 Forfait</t>
  </si>
  <si>
    <t xml:space="preserve">Adhésion mensuelle 41,58€ HT </t>
  </si>
  <si>
    <t>Prévisionnel</t>
  </si>
  <si>
    <t>CA Realisé</t>
  </si>
  <si>
    <t>CA Réalisé</t>
  </si>
  <si>
    <t>Heure réalisée</t>
  </si>
  <si>
    <t xml:space="preserve">Centre 1 Nogent </t>
  </si>
  <si>
    <t>Cumul</t>
  </si>
  <si>
    <t xml:space="preserve">Comptabilité </t>
  </si>
  <si>
    <t>AACE*</t>
  </si>
  <si>
    <t>Marketing*</t>
  </si>
  <si>
    <t>Location + charges Locatives</t>
  </si>
  <si>
    <t xml:space="preserve">Informaticien sous traitance Maintenance </t>
  </si>
  <si>
    <t>Sous traitance honoraire*</t>
  </si>
  <si>
    <t>Diverses surprises*</t>
  </si>
  <si>
    <t>Frais d'actes et contentieux</t>
  </si>
  <si>
    <t>L'eventail du savoir,NJ Press,Police Municipale,Marie de nogent,FFE,Call Pact….</t>
  </si>
  <si>
    <t xml:space="preserve">Dotation aux amortissements </t>
  </si>
  <si>
    <t>charges divers de gestion courante</t>
  </si>
  <si>
    <t>Assurance et commissions</t>
  </si>
  <si>
    <t>Marketing pub et publications*</t>
  </si>
  <si>
    <t>Résultat financier</t>
  </si>
  <si>
    <t>Check1</t>
  </si>
  <si>
    <t>Check2</t>
  </si>
  <si>
    <t>ns</t>
  </si>
  <si>
    <t>MAD salle /forfait centre 1 Nogent</t>
  </si>
  <si>
    <t>MAD salle /forfait Centre 2</t>
  </si>
  <si>
    <t xml:space="preserve"> Abonnement Centre 1 Nogent</t>
  </si>
  <si>
    <t xml:space="preserve"> Abonnement Centre 2</t>
  </si>
  <si>
    <t xml:space="preserve"> CA intervenants  fixe Centre 1 Nogent</t>
  </si>
  <si>
    <t xml:space="preserve"> CA intervenants  fixe Centre 2 </t>
  </si>
  <si>
    <t>Rému chargée Dirigeant</t>
  </si>
  <si>
    <t>Entretien des locaux</t>
  </si>
  <si>
    <t xml:space="preserve">12 mois </t>
  </si>
  <si>
    <t>21% réel moyen</t>
  </si>
  <si>
    <t>CA Patients dirigeante</t>
  </si>
  <si>
    <t>Synthèse du système de réservation:</t>
  </si>
  <si>
    <t>heures consommées</t>
  </si>
  <si>
    <t>8h/jours</t>
  </si>
  <si>
    <t>Taux occupation</t>
  </si>
  <si>
    <t>Taux croissance</t>
  </si>
  <si>
    <t>mini 21%</t>
  </si>
  <si>
    <t>maxi 28%</t>
  </si>
  <si>
    <t>CA HT heures réservées</t>
  </si>
  <si>
    <t>PROGRESSION CA</t>
  </si>
  <si>
    <t>Décoration,Receptions,Poste,Internet, Telephone,Eau-Gaz,petits equipement,Fourn Admin</t>
  </si>
  <si>
    <t>Impôt et versements assimilés</t>
  </si>
  <si>
    <t>salarié CDD, charges, Stagiaires</t>
  </si>
  <si>
    <t>Année fiscale : 1 Septembre-31 Aout - le 1er oct.2017</t>
  </si>
  <si>
    <t>Questions/Commentaires</t>
  </si>
  <si>
    <t>2/disponibilités jamais négatives ! (cessation de paiement!!!)</t>
  </si>
  <si>
    <t>3/Rex trop élevé en 20/21 (pas crédible)</t>
  </si>
  <si>
    <t>4/ cpte négatif au bilan (interdit!)</t>
  </si>
  <si>
    <t>5/ capitaux prpres négatifs (interdit)</t>
  </si>
  <si>
    <t>6/ cpte couratn à transférer en capital dès 2018 (obligatoire!)</t>
  </si>
  <si>
    <t>7/dette financière négative (pas possible)</t>
  </si>
  <si>
    <t>1/ argumentation sur CA essentielle (car augmentation difficilement croyable)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</si>
</sst>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_-* #,##0.00\ [$€-40C]_-;\-* #,##0.00\ [$€-40C]_-;_-* &quot;-&quot;??\ [$€-40C]_-;_-@_-"/>
    <numFmt numFmtId="166" formatCode="0.0%"/>
    <numFmt numFmtId="167" formatCode="0.000%"/>
    <numFmt numFmtId="168" formatCode="0.0000%"/>
    <numFmt numFmtId="169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11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2" xfId="0" applyFont="1" applyFill="1" applyBorder="1" applyAlignment="1"/>
    <xf numFmtId="0" fontId="4" fillId="14" borderId="2" xfId="0" applyFont="1" applyFill="1" applyBorder="1" applyAlignment="1"/>
    <xf numFmtId="0" fontId="4" fillId="5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4" fillId="8" borderId="1" xfId="0" applyFont="1" applyFill="1" applyBorder="1"/>
    <xf numFmtId="0" fontId="4" fillId="9" borderId="1" xfId="0" applyFont="1" applyFill="1" applyBorder="1"/>
    <xf numFmtId="166" fontId="3" fillId="0" borderId="1" xfId="1" applyNumberFormat="1" applyFont="1" applyBorder="1"/>
    <xf numFmtId="9" fontId="3" fillId="0" borderId="1" xfId="1" applyFont="1" applyBorder="1"/>
    <xf numFmtId="0" fontId="4" fillId="0" borderId="1" xfId="0" applyFont="1" applyBorder="1" applyAlignment="1">
      <alignment horizontal="right"/>
    </xf>
    <xf numFmtId="0" fontId="4" fillId="14" borderId="1" xfId="0" applyFont="1" applyFill="1" applyBorder="1" applyAlignment="1">
      <alignment horizontal="right"/>
    </xf>
    <xf numFmtId="0" fontId="4" fillId="0" borderId="1" xfId="0" applyFont="1" applyBorder="1"/>
    <xf numFmtId="0" fontId="3" fillId="2" borderId="1" xfId="0" applyFont="1" applyFill="1" applyBorder="1" applyAlignment="1">
      <alignment horizontal="right"/>
    </xf>
    <xf numFmtId="44" fontId="3" fillId="0" borderId="1" xfId="2" applyFont="1" applyBorder="1"/>
    <xf numFmtId="0" fontId="3" fillId="5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15" borderId="2" xfId="0" applyFont="1" applyFill="1" applyBorder="1"/>
    <xf numFmtId="9" fontId="3" fillId="0" borderId="1" xfId="0" applyNumberFormat="1" applyFont="1" applyBorder="1"/>
    <xf numFmtId="164" fontId="3" fillId="3" borderId="1" xfId="0" applyNumberFormat="1" applyFont="1" applyFill="1" applyBorder="1"/>
    <xf numFmtId="164" fontId="3" fillId="14" borderId="1" xfId="0" applyNumberFormat="1" applyFont="1" applyFill="1" applyBorder="1"/>
    <xf numFmtId="0" fontId="3" fillId="3" borderId="1" xfId="0" applyFont="1" applyFill="1" applyBorder="1"/>
    <xf numFmtId="10" fontId="3" fillId="3" borderId="1" xfId="0" applyNumberFormat="1" applyFont="1" applyFill="1" applyBorder="1"/>
    <xf numFmtId="169" fontId="3" fillId="0" borderId="1" xfId="2" applyNumberFormat="1" applyFont="1" applyBorder="1"/>
    <xf numFmtId="9" fontId="3" fillId="3" borderId="1" xfId="1" applyFont="1" applyFill="1" applyBorder="1"/>
    <xf numFmtId="0" fontId="3" fillId="7" borderId="1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0" fontId="3" fillId="9" borderId="1" xfId="0" applyFont="1" applyFill="1" applyBorder="1" applyAlignment="1">
      <alignment horizontal="right"/>
    </xf>
    <xf numFmtId="0" fontId="3" fillId="0" borderId="2" xfId="0" applyFont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3" fillId="13" borderId="0" xfId="0" applyFont="1" applyFill="1"/>
    <xf numFmtId="9" fontId="3" fillId="13" borderId="0" xfId="0" applyNumberFormat="1" applyFont="1" applyFill="1"/>
    <xf numFmtId="0" fontId="4" fillId="3" borderId="2" xfId="0" applyFont="1" applyFill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164" fontId="4" fillId="14" borderId="1" xfId="0" applyNumberFormat="1" applyFont="1" applyFill="1" applyBorder="1"/>
    <xf numFmtId="164" fontId="4" fillId="2" borderId="1" xfId="0" applyNumberFormat="1" applyFont="1" applyFill="1" applyBorder="1"/>
    <xf numFmtId="165" fontId="3" fillId="3" borderId="1" xfId="0" applyNumberFormat="1" applyFont="1" applyFill="1" applyBorder="1"/>
    <xf numFmtId="9" fontId="3" fillId="3" borderId="1" xfId="0" applyNumberFormat="1" applyFont="1" applyFill="1" applyBorder="1"/>
    <xf numFmtId="165" fontId="3" fillId="0" borderId="1" xfId="0" applyNumberFormat="1" applyFont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3" borderId="0" xfId="0" applyFont="1" applyFill="1" applyBorder="1" applyAlignment="1">
      <alignment horizontal="center"/>
    </xf>
    <xf numFmtId="165" fontId="3" fillId="3" borderId="0" xfId="0" applyNumberFormat="1" applyFont="1" applyFill="1" applyBorder="1"/>
    <xf numFmtId="9" fontId="3" fillId="3" borderId="0" xfId="0" applyNumberFormat="1" applyFont="1" applyFill="1" applyBorder="1"/>
    <xf numFmtId="165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165" fontId="3" fillId="0" borderId="1" xfId="1" applyNumberFormat="1" applyFont="1" applyBorder="1"/>
    <xf numFmtId="10" fontId="3" fillId="3" borderId="1" xfId="1" applyNumberFormat="1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3" fillId="9" borderId="1" xfId="0" applyFont="1" applyFill="1" applyBorder="1"/>
    <xf numFmtId="168" fontId="3" fillId="0" borderId="1" xfId="1" applyNumberFormat="1" applyFont="1" applyBorder="1"/>
    <xf numFmtId="9" fontId="3" fillId="0" borderId="0" xfId="0" applyNumberFormat="1" applyFont="1"/>
    <xf numFmtId="2" fontId="3" fillId="0" borderId="0" xfId="0" applyNumberFormat="1" applyFont="1" applyBorder="1"/>
    <xf numFmtId="2" fontId="3" fillId="0" borderId="1" xfId="0" applyNumberFormat="1" applyFont="1" applyFill="1" applyBorder="1"/>
    <xf numFmtId="2" fontId="3" fillId="14" borderId="1" xfId="0" applyNumberFormat="1" applyFont="1" applyFill="1" applyBorder="1"/>
    <xf numFmtId="2" fontId="3" fillId="3" borderId="1" xfId="0" applyNumberFormat="1" applyFont="1" applyFill="1" applyBorder="1"/>
    <xf numFmtId="1" fontId="3" fillId="3" borderId="1" xfId="0" applyNumberFormat="1" applyFont="1" applyFill="1" applyBorder="1" applyAlignment="1">
      <alignment horizontal="right" vertical="center"/>
    </xf>
    <xf numFmtId="1" fontId="3" fillId="3" borderId="1" xfId="3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/>
    </xf>
    <xf numFmtId="167" fontId="3" fillId="3" borderId="1" xfId="0" applyNumberFormat="1" applyFont="1" applyFill="1" applyBorder="1"/>
    <xf numFmtId="2" fontId="3" fillId="0" borderId="1" xfId="2" applyNumberFormat="1" applyFont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Border="1"/>
    <xf numFmtId="1" fontId="4" fillId="0" borderId="1" xfId="0" applyNumberFormat="1" applyFont="1" applyBorder="1"/>
    <xf numFmtId="164" fontId="4" fillId="0" borderId="0" xfId="0" applyNumberFormat="1" applyFont="1" applyFill="1" applyBorder="1"/>
    <xf numFmtId="9" fontId="4" fillId="0" borderId="1" xfId="1" applyFont="1" applyBorder="1"/>
    <xf numFmtId="9" fontId="4" fillId="14" borderId="1" xfId="1" applyFont="1" applyFill="1" applyBorder="1"/>
    <xf numFmtId="44" fontId="3" fillId="0" borderId="0" xfId="0" applyNumberFormat="1" applyFont="1"/>
    <xf numFmtId="164" fontId="4" fillId="0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3" fillId="13" borderId="0" xfId="0" applyFont="1" applyFill="1" applyAlignment="1">
      <alignment horizontal="right"/>
    </xf>
    <xf numFmtId="0" fontId="4" fillId="4" borderId="0" xfId="0" applyFont="1" applyFill="1"/>
    <xf numFmtId="0" fontId="3" fillId="4" borderId="0" xfId="0" applyFont="1" applyFill="1"/>
    <xf numFmtId="1" fontId="3" fillId="2" borderId="1" xfId="0" applyNumberFormat="1" applyFont="1" applyFill="1" applyBorder="1"/>
    <xf numFmtId="9" fontId="3" fillId="4" borderId="0" xfId="0" applyNumberFormat="1" applyFont="1" applyFill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/>
    <xf numFmtId="1" fontId="3" fillId="3" borderId="1" xfId="0" applyNumberFormat="1" applyFont="1" applyFill="1" applyBorder="1"/>
    <xf numFmtId="1" fontId="3" fillId="0" borderId="1" xfId="0" applyNumberFormat="1" applyFont="1" applyBorder="1"/>
    <xf numFmtId="166" fontId="3" fillId="3" borderId="1" xfId="1" applyNumberFormat="1" applyFont="1" applyFill="1" applyBorder="1"/>
    <xf numFmtId="0" fontId="3" fillId="0" borderId="16" xfId="0" applyFont="1" applyFill="1" applyBorder="1"/>
    <xf numFmtId="0" fontId="3" fillId="14" borderId="1" xfId="0" applyFont="1" applyFill="1" applyBorder="1"/>
    <xf numFmtId="164" fontId="4" fillId="6" borderId="1" xfId="0" applyNumberFormat="1" applyFont="1" applyFill="1" applyBorder="1"/>
    <xf numFmtId="164" fontId="3" fillId="0" borderId="0" xfId="0" applyNumberFormat="1" applyFont="1"/>
    <xf numFmtId="0" fontId="5" fillId="10" borderId="10" xfId="0" applyFont="1" applyFill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5" fillId="10" borderId="12" xfId="0" applyFont="1" applyFill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3" fillId="13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9" fontId="3" fillId="14" borderId="1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11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2" borderId="2" xfId="0" applyFont="1" applyFill="1" applyBorder="1" applyAlignment="1"/>
    <xf numFmtId="0" fontId="7" fillId="14" borderId="2" xfId="0" applyFont="1" applyFill="1" applyBorder="1" applyAlignment="1"/>
    <xf numFmtId="0" fontId="7" fillId="5" borderId="1" xfId="0" applyFont="1" applyFill="1" applyBorder="1"/>
    <xf numFmtId="0" fontId="7" fillId="6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7" fillId="9" borderId="1" xfId="0" applyFont="1" applyFill="1" applyBorder="1"/>
    <xf numFmtId="166" fontId="6" fillId="0" borderId="1" xfId="1" applyNumberFormat="1" applyFont="1" applyBorder="1"/>
    <xf numFmtId="9" fontId="6" fillId="0" borderId="1" xfId="1" applyFont="1" applyBorder="1"/>
    <xf numFmtId="0" fontId="7" fillId="0" borderId="1" xfId="0" applyFont="1" applyBorder="1" applyAlignment="1">
      <alignment horizontal="right"/>
    </xf>
    <xf numFmtId="0" fontId="7" fillId="14" borderId="1" xfId="0" applyFont="1" applyFill="1" applyBorder="1" applyAlignment="1">
      <alignment horizontal="right"/>
    </xf>
    <xf numFmtId="0" fontId="7" fillId="0" borderId="1" xfId="0" applyFont="1" applyBorder="1"/>
    <xf numFmtId="0" fontId="6" fillId="2" borderId="1" xfId="0" applyFont="1" applyFill="1" applyBorder="1" applyAlignment="1">
      <alignment horizontal="right"/>
    </xf>
    <xf numFmtId="44" fontId="6" fillId="0" borderId="1" xfId="2" applyFont="1" applyBorder="1"/>
    <xf numFmtId="0" fontId="6" fillId="5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15" borderId="2" xfId="0" applyFont="1" applyFill="1" applyBorder="1"/>
    <xf numFmtId="9" fontId="6" fillId="0" borderId="1" xfId="0" applyNumberFormat="1" applyFont="1" applyBorder="1"/>
    <xf numFmtId="164" fontId="6" fillId="3" borderId="1" xfId="0" applyNumberFormat="1" applyFont="1" applyFill="1" applyBorder="1"/>
    <xf numFmtId="164" fontId="6" fillId="14" borderId="1" xfId="0" applyNumberFormat="1" applyFont="1" applyFill="1" applyBorder="1"/>
    <xf numFmtId="0" fontId="6" fillId="3" borderId="1" xfId="0" applyFont="1" applyFill="1" applyBorder="1"/>
    <xf numFmtId="10" fontId="6" fillId="3" borderId="1" xfId="0" applyNumberFormat="1" applyFont="1" applyFill="1" applyBorder="1"/>
    <xf numFmtId="9" fontId="6" fillId="3" borderId="1" xfId="1" applyFont="1" applyFill="1" applyBorder="1"/>
    <xf numFmtId="0" fontId="6" fillId="7" borderId="1" xfId="0" applyFont="1" applyFill="1" applyBorder="1" applyAlignment="1">
      <alignment horizontal="right"/>
    </xf>
    <xf numFmtId="0" fontId="6" fillId="8" borderId="1" xfId="0" applyFont="1" applyFill="1" applyBorder="1" applyAlignment="1">
      <alignment horizontal="right"/>
    </xf>
    <xf numFmtId="0" fontId="6" fillId="9" borderId="1" xfId="0" applyFont="1" applyFill="1" applyBorder="1" applyAlignment="1">
      <alignment horizontal="right"/>
    </xf>
    <xf numFmtId="0" fontId="6" fillId="0" borderId="2" xfId="0" applyFont="1" applyBorder="1"/>
    <xf numFmtId="0" fontId="6" fillId="0" borderId="1" xfId="0" applyFont="1" applyFill="1" applyBorder="1"/>
    <xf numFmtId="164" fontId="6" fillId="0" borderId="1" xfId="0" applyNumberFormat="1" applyFont="1" applyFill="1" applyBorder="1"/>
    <xf numFmtId="0" fontId="6" fillId="13" borderId="0" xfId="0" applyFont="1" applyFill="1"/>
    <xf numFmtId="9" fontId="6" fillId="4" borderId="0" xfId="0" applyNumberFormat="1" applyFont="1" applyFill="1"/>
    <xf numFmtId="0" fontId="7" fillId="3" borderId="2" xfId="0" applyFont="1" applyFill="1" applyBorder="1"/>
    <xf numFmtId="0" fontId="7" fillId="3" borderId="1" xfId="0" applyFont="1" applyFill="1" applyBorder="1"/>
    <xf numFmtId="164" fontId="7" fillId="3" borderId="1" xfId="0" applyNumberFormat="1" applyFont="1" applyFill="1" applyBorder="1"/>
    <xf numFmtId="164" fontId="7" fillId="14" borderId="1" xfId="0" applyNumberFormat="1" applyFont="1" applyFill="1" applyBorder="1"/>
    <xf numFmtId="164" fontId="7" fillId="2" borderId="1" xfId="0" applyNumberFormat="1" applyFont="1" applyFill="1" applyBorder="1"/>
    <xf numFmtId="165" fontId="6" fillId="3" borderId="1" xfId="0" applyNumberFormat="1" applyFont="1" applyFill="1" applyBorder="1"/>
    <xf numFmtId="9" fontId="6" fillId="3" borderId="1" xfId="0" applyNumberFormat="1" applyFont="1" applyFill="1" applyBorder="1"/>
    <xf numFmtId="165" fontId="6" fillId="0" borderId="1" xfId="0" applyNumberFormat="1" applyFont="1" applyBorder="1"/>
    <xf numFmtId="0" fontId="6" fillId="5" borderId="1" xfId="0" applyFont="1" applyFill="1" applyBorder="1"/>
    <xf numFmtId="0" fontId="6" fillId="6" borderId="1" xfId="0" applyFont="1" applyFill="1" applyBorder="1"/>
    <xf numFmtId="0" fontId="6" fillId="3" borderId="0" xfId="0" applyFont="1" applyFill="1" applyBorder="1" applyAlignment="1">
      <alignment horizontal="center"/>
    </xf>
    <xf numFmtId="165" fontId="6" fillId="3" borderId="0" xfId="0" applyNumberFormat="1" applyFont="1" applyFill="1" applyBorder="1"/>
    <xf numFmtId="9" fontId="6" fillId="3" borderId="0" xfId="0" applyNumberFormat="1" applyFont="1" applyFill="1" applyBorder="1"/>
    <xf numFmtId="165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165" fontId="6" fillId="0" borderId="1" xfId="1" applyNumberFormat="1" applyFont="1" applyBorder="1"/>
    <xf numFmtId="10" fontId="6" fillId="3" borderId="1" xfId="1" applyNumberFormat="1" applyFont="1" applyFill="1" applyBorder="1"/>
    <xf numFmtId="0" fontId="6" fillId="7" borderId="1" xfId="0" applyFont="1" applyFill="1" applyBorder="1"/>
    <xf numFmtId="0" fontId="6" fillId="8" borderId="1" xfId="0" applyFont="1" applyFill="1" applyBorder="1"/>
    <xf numFmtId="0" fontId="6" fillId="9" borderId="1" xfId="0" applyFont="1" applyFill="1" applyBorder="1"/>
    <xf numFmtId="168" fontId="6" fillId="0" borderId="1" xfId="1" applyNumberFormat="1" applyFont="1" applyBorder="1"/>
    <xf numFmtId="9" fontId="6" fillId="0" borderId="0" xfId="0" applyNumberFormat="1" applyFont="1"/>
    <xf numFmtId="2" fontId="6" fillId="0" borderId="0" xfId="0" applyNumberFormat="1" applyFont="1" applyBorder="1"/>
    <xf numFmtId="2" fontId="6" fillId="0" borderId="1" xfId="0" applyNumberFormat="1" applyFont="1" applyFill="1" applyBorder="1"/>
    <xf numFmtId="2" fontId="6" fillId="14" borderId="1" xfId="0" applyNumberFormat="1" applyFont="1" applyFill="1" applyBorder="1"/>
    <xf numFmtId="2" fontId="6" fillId="3" borderId="1" xfId="0" applyNumberFormat="1" applyFont="1" applyFill="1" applyBorder="1"/>
    <xf numFmtId="1" fontId="6" fillId="3" borderId="1" xfId="0" applyNumberFormat="1" applyFont="1" applyFill="1" applyBorder="1" applyAlignment="1">
      <alignment horizontal="right" vertical="center"/>
    </xf>
    <xf numFmtId="1" fontId="6" fillId="4" borderId="1" xfId="3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/>
    </xf>
    <xf numFmtId="167" fontId="6" fillId="3" borderId="1" xfId="0" applyNumberFormat="1" applyFont="1" applyFill="1" applyBorder="1"/>
    <xf numFmtId="2" fontId="6" fillId="0" borderId="1" xfId="2" applyNumberFormat="1" applyFont="1" applyBorder="1"/>
    <xf numFmtId="164" fontId="6" fillId="2" borderId="1" xfId="0" applyNumberFormat="1" applyFont="1" applyFill="1" applyBorder="1"/>
    <xf numFmtId="164" fontId="6" fillId="0" borderId="1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Fill="1" applyBorder="1"/>
    <xf numFmtId="164" fontId="7" fillId="0" borderId="1" xfId="0" applyNumberFormat="1" applyFont="1" applyBorder="1"/>
    <xf numFmtId="1" fontId="7" fillId="0" borderId="1" xfId="0" applyNumberFormat="1" applyFont="1" applyBorder="1"/>
    <xf numFmtId="164" fontId="7" fillId="0" borderId="0" xfId="0" applyNumberFormat="1" applyFont="1" applyFill="1" applyBorder="1"/>
    <xf numFmtId="9" fontId="7" fillId="0" borderId="1" xfId="1" applyFont="1" applyBorder="1"/>
    <xf numFmtId="9" fontId="7" fillId="14" borderId="1" xfId="1" applyFont="1" applyFill="1" applyBorder="1"/>
    <xf numFmtId="44" fontId="6" fillId="0" borderId="0" xfId="0" applyNumberFormat="1" applyFont="1"/>
    <xf numFmtId="164" fontId="7" fillId="0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6" fillId="13" borderId="0" xfId="0" applyFont="1" applyFill="1" applyAlignment="1">
      <alignment horizontal="right"/>
    </xf>
    <xf numFmtId="0" fontId="7" fillId="4" borderId="0" xfId="0" applyFont="1" applyFill="1"/>
    <xf numFmtId="0" fontId="6" fillId="4" borderId="0" xfId="0" applyFont="1" applyFill="1"/>
    <xf numFmtId="1" fontId="6" fillId="2" borderId="1" xfId="0" applyNumberFormat="1" applyFont="1" applyFill="1" applyBorder="1"/>
    <xf numFmtId="164" fontId="6" fillId="4" borderId="1" xfId="0" applyNumberFormat="1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" xfId="0" applyFont="1" applyFill="1" applyBorder="1"/>
    <xf numFmtId="1" fontId="6" fillId="3" borderId="1" xfId="0" applyNumberFormat="1" applyFont="1" applyFill="1" applyBorder="1"/>
    <xf numFmtId="1" fontId="6" fillId="0" borderId="1" xfId="0" applyNumberFormat="1" applyFont="1" applyBorder="1"/>
    <xf numFmtId="166" fontId="6" fillId="3" borderId="1" xfId="1" applyNumberFormat="1" applyFont="1" applyFill="1" applyBorder="1"/>
    <xf numFmtId="0" fontId="6" fillId="0" borderId="16" xfId="0" applyFont="1" applyFill="1" applyBorder="1"/>
    <xf numFmtId="0" fontId="6" fillId="14" borderId="1" xfId="0" applyFont="1" applyFill="1" applyBorder="1"/>
    <xf numFmtId="164" fontId="7" fillId="6" borderId="1" xfId="0" applyNumberFormat="1" applyFont="1" applyFill="1" applyBorder="1"/>
    <xf numFmtId="164" fontId="6" fillId="0" borderId="0" xfId="0" applyNumberFormat="1" applyFont="1"/>
    <xf numFmtId="0" fontId="8" fillId="10" borderId="10" xfId="0" applyFont="1" applyFill="1" applyBorder="1" applyAlignment="1">
      <alignment horizontal="right" wrapText="1"/>
    </xf>
    <xf numFmtId="0" fontId="8" fillId="0" borderId="11" xfId="0" applyFont="1" applyBorder="1" applyAlignment="1">
      <alignment horizontal="right" wrapText="1"/>
    </xf>
    <xf numFmtId="0" fontId="8" fillId="10" borderId="12" xfId="0" applyFont="1" applyFill="1" applyBorder="1" applyAlignment="1">
      <alignment horizontal="right" wrapText="1"/>
    </xf>
    <xf numFmtId="0" fontId="8" fillId="0" borderId="13" xfId="0" applyFont="1" applyBorder="1" applyAlignment="1">
      <alignment horizontal="right" wrapText="1"/>
    </xf>
    <xf numFmtId="0" fontId="6" fillId="13" borderId="1" xfId="0" applyFont="1" applyFill="1" applyBorder="1"/>
    <xf numFmtId="164" fontId="6" fillId="2" borderId="1" xfId="0" applyNumberFormat="1" applyFont="1" applyFill="1" applyBorder="1" applyAlignment="1">
      <alignment horizontal="right"/>
    </xf>
    <xf numFmtId="9" fontId="6" fillId="14" borderId="1" xfId="0" applyNumberFormat="1" applyFont="1" applyFill="1" applyBorder="1"/>
    <xf numFmtId="166" fontId="7" fillId="0" borderId="1" xfId="1" applyNumberFormat="1" applyFont="1" applyBorder="1"/>
    <xf numFmtId="164" fontId="7" fillId="16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9" xfId="0" applyFont="1" applyFill="1" applyBorder="1"/>
    <xf numFmtId="0" fontId="3" fillId="6" borderId="3" xfId="0" applyFont="1" applyFill="1" applyBorder="1"/>
    <xf numFmtId="0" fontId="3" fillId="12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9" xfId="0" applyFont="1" applyBorder="1"/>
    <xf numFmtId="0" fontId="3" fillId="0" borderId="3" xfId="0" applyFont="1" applyBorder="1"/>
    <xf numFmtId="0" fontId="3" fillId="5" borderId="9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9" xfId="0" applyFont="1" applyFill="1" applyBorder="1"/>
    <xf numFmtId="0" fontId="3" fillId="7" borderId="3" xfId="0" applyFont="1" applyFill="1" applyBorder="1"/>
    <xf numFmtId="0" fontId="3" fillId="7" borderId="9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9" xfId="0" applyFont="1" applyFill="1" applyBorder="1"/>
    <xf numFmtId="0" fontId="3" fillId="8" borderId="3" xfId="0" applyFont="1" applyFill="1" applyBorder="1"/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9" xfId="0" applyFont="1" applyFill="1" applyBorder="1"/>
    <xf numFmtId="0" fontId="3" fillId="9" borderId="3" xfId="0" applyFont="1" applyFill="1" applyBorder="1"/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1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9" xfId="0" applyFont="1" applyFill="1" applyBorder="1"/>
    <xf numFmtId="0" fontId="6" fillId="9" borderId="3" xfId="0" applyFont="1" applyFill="1" applyBorder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/>
    <xf numFmtId="0" fontId="6" fillId="6" borderId="2" xfId="0" applyFont="1" applyFill="1" applyBorder="1" applyAlignment="1">
      <alignment horizontal="center"/>
    </xf>
    <xf numFmtId="0" fontId="6" fillId="6" borderId="9" xfId="0" applyFont="1" applyFill="1" applyBorder="1"/>
    <xf numFmtId="0" fontId="6" fillId="6" borderId="3" xfId="0" applyFont="1" applyFill="1" applyBorder="1"/>
    <xf numFmtId="0" fontId="6" fillId="7" borderId="2" xfId="0" applyFont="1" applyFill="1" applyBorder="1" applyAlignment="1">
      <alignment horizontal="center"/>
    </xf>
    <xf numFmtId="0" fontId="6" fillId="7" borderId="9" xfId="0" applyFont="1" applyFill="1" applyBorder="1"/>
    <xf numFmtId="0" fontId="6" fillId="7" borderId="3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9" xfId="0" applyFont="1" applyFill="1" applyBorder="1"/>
    <xf numFmtId="0" fontId="6" fillId="8" borderId="3" xfId="0" applyFont="1" applyFill="1" applyBorder="1"/>
    <xf numFmtId="0" fontId="6" fillId="5" borderId="9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0" xfId="0" applyFont="1" applyBorder="1"/>
    <xf numFmtId="0" fontId="6" fillId="2" borderId="0" xfId="0" applyFont="1" applyFill="1" applyBorder="1" applyAlignment="1">
      <alignment horizontal="center"/>
    </xf>
    <xf numFmtId="166" fontId="6" fillId="0" borderId="0" xfId="1" applyNumberFormat="1" applyFont="1" applyBorder="1"/>
    <xf numFmtId="9" fontId="6" fillId="0" borderId="0" xfId="1" applyFont="1" applyBorder="1"/>
    <xf numFmtId="0" fontId="6" fillId="2" borderId="0" xfId="0" applyFont="1" applyFill="1" applyBorder="1" applyAlignment="1">
      <alignment horizontal="right"/>
    </xf>
    <xf numFmtId="44" fontId="6" fillId="0" borderId="0" xfId="2" applyFont="1" applyBorder="1"/>
    <xf numFmtId="0" fontId="6" fillId="3" borderId="0" xfId="0" applyFont="1" applyFill="1" applyBorder="1"/>
    <xf numFmtId="10" fontId="6" fillId="3" borderId="0" xfId="0" applyNumberFormat="1" applyFont="1" applyFill="1" applyBorder="1"/>
    <xf numFmtId="169" fontId="6" fillId="0" borderId="0" xfId="2" applyNumberFormat="1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</cellXfs>
  <cellStyles count="4">
    <cellStyle name="Milliers" xfId="3" builtinId="3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461043</xdr:colOff>
      <xdr:row>4</xdr:row>
      <xdr:rowOff>166488</xdr:rowOff>
    </xdr:from>
    <xdr:to>
      <xdr:col>15</xdr:col>
      <xdr:colOff>986118</xdr:colOff>
      <xdr:row>28</xdr:row>
      <xdr:rowOff>76841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EE1BBDF-B6D9-4B3D-A722-25631B4B8326}"/>
            </a:ext>
          </a:extLst>
        </xdr:cNvPr>
        <xdr:cNvSpPr txBox="1"/>
      </xdr:nvSpPr>
      <xdr:spPr>
        <a:xfrm>
          <a:off x="8804623" y="909277"/>
          <a:ext cx="4328671" cy="43670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Questions/CommentairesQuestions/Commentaires</a:t>
          </a:r>
        </a:p>
        <a:p>
          <a:endParaRPr lang="fr-FR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 argumentation sur CA essentielle (car augmentation difficilement croyable), à partir des données mktg de la zone de chalandise et des moyens publicitaires mis en place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2/disponibilités jamais négatives ! (cessation de paiement!!!)  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3/Rex trop élevé en 20/21 (pas crédible)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4/ cpte négatif au bilan (interdit!)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5/ capitaux prpres négatifs (interdit)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 cpte couratn à transférer en capital dès 2018 (obligatoire!)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7/dette financière négative (pas possible)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8/ que sont les investissements 2008?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</a:t>
          </a:r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insérer l'augmentation de capital dans le BP </a:t>
          </a:r>
        </a:p>
        <a:p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 prévoir la valorisation en re-money et les primes d'émission</a:t>
          </a:r>
        </a:p>
        <a:p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11/ quid du 2ème centre dont tu m'as parlé?</a:t>
          </a:r>
        </a:p>
        <a:p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 récap année par année des 3 premières lignes de dépenses (salaires, AACE, location)</a:t>
          </a:r>
        </a:p>
        <a:p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13/ à mon avis tu devrais être éligible au programme PM'UP.</a:t>
          </a:r>
        </a:p>
        <a:p>
          <a:endParaRPr lang="fr-FR" sz="12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JSC le 1er oct 2017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3"/>
  <sheetViews>
    <sheetView topLeftCell="A3" zoomScale="85" zoomScaleNormal="85" workbookViewId="0">
      <selection activeCell="F41" sqref="F41"/>
    </sheetView>
  </sheetViews>
  <sheetFormatPr baseColWidth="10" defaultColWidth="8.28515625" defaultRowHeight="15" x14ac:dyDescent="0.25"/>
  <cols>
    <col min="1" max="1" width="39.5703125" style="1" customWidth="1"/>
    <col min="2" max="2" width="8.28515625" style="1" customWidth="1"/>
    <col min="3" max="3" width="9.5703125" style="1" bestFit="1" customWidth="1"/>
    <col min="4" max="4" width="9.85546875" style="1" customWidth="1"/>
    <col min="5" max="5" width="1.7109375" style="1" customWidth="1"/>
    <col min="6" max="6" width="9.85546875" style="1" customWidth="1"/>
    <col min="7" max="7" width="10" style="1" customWidth="1"/>
    <col min="8" max="10" width="9.7109375" style="1" bestFit="1" customWidth="1"/>
    <col min="11" max="12" width="7.7109375" style="1" customWidth="1"/>
    <col min="13" max="13" width="4.85546875" style="1" customWidth="1"/>
    <col min="14" max="14" width="13.5703125" style="1" customWidth="1"/>
    <col min="15" max="15" width="19.7109375" style="1" customWidth="1"/>
    <col min="16" max="16" width="21.5703125" style="1" customWidth="1"/>
    <col min="17" max="17" width="19.7109375" style="1" customWidth="1"/>
    <col min="18" max="18" width="18.5703125" style="1" customWidth="1"/>
    <col min="19" max="19" width="18.5703125" style="2" customWidth="1"/>
    <col min="20" max="20" width="18.5703125" style="1" customWidth="1"/>
    <col min="21" max="21" width="20.140625" style="1" customWidth="1"/>
    <col min="22" max="24" width="11.42578125" style="1" customWidth="1"/>
    <col min="25" max="25" width="18.85546875" style="1" customWidth="1"/>
    <col min="26" max="26" width="21" style="1" customWidth="1"/>
    <col min="27" max="27" width="14.5703125" style="1" customWidth="1"/>
    <col min="28" max="30" width="14.28515625" style="1" customWidth="1"/>
    <col min="31" max="31" width="18.42578125" style="1" customWidth="1"/>
    <col min="32" max="34" width="14.28515625" style="1" customWidth="1"/>
    <col min="35" max="35" width="10.42578125" style="1" customWidth="1"/>
    <col min="36" max="36" width="16.85546875" style="1" customWidth="1"/>
    <col min="37" max="37" width="17.85546875" style="1" customWidth="1"/>
    <col min="38" max="38" width="12.5703125" style="1" customWidth="1"/>
    <col min="39" max="40" width="10.85546875" style="1" customWidth="1"/>
    <col min="41" max="41" width="18.42578125" style="1" customWidth="1"/>
    <col min="42" max="42" width="16.5703125" style="1" customWidth="1"/>
    <col min="43" max="43" width="15.42578125" style="1" customWidth="1"/>
    <col min="44" max="45" width="10.85546875" style="1" customWidth="1"/>
    <col min="46" max="46" width="16" style="1" customWidth="1"/>
    <col min="47" max="48" width="15" style="1" customWidth="1"/>
    <col min="49" max="49" width="12.5703125" style="1" customWidth="1"/>
    <col min="50" max="50" width="10.85546875" style="1" customWidth="1"/>
    <col min="51" max="51" width="11.28515625" style="1" customWidth="1"/>
    <col min="52" max="52" width="18.7109375" style="1" customWidth="1"/>
    <col min="53" max="53" width="15.5703125" style="1" customWidth="1"/>
    <col min="54" max="54" width="13" style="1" customWidth="1"/>
    <col min="55" max="56" width="9.5703125" style="1" customWidth="1"/>
    <col min="57" max="57" width="18.28515625" style="1" customWidth="1"/>
    <col min="58" max="58" width="15.28515625" style="1" customWidth="1"/>
    <col min="59" max="59" width="12.7109375" style="1" customWidth="1"/>
    <col min="60" max="60" width="9.5703125" style="1" customWidth="1"/>
    <col min="61" max="61" width="9.7109375" style="1" customWidth="1"/>
    <col min="62" max="62" width="17.5703125" style="1" customWidth="1"/>
    <col min="63" max="63" width="14.28515625" style="1" customWidth="1"/>
    <col min="64" max="64" width="12.85546875" style="1" customWidth="1"/>
    <col min="65" max="66" width="8.28515625" style="1" customWidth="1"/>
    <col min="67" max="67" width="17.42578125" style="1" customWidth="1"/>
    <col min="68" max="68" width="9.28515625" style="1" customWidth="1"/>
    <col min="69" max="69" width="13.28515625" style="1" customWidth="1"/>
    <col min="70" max="70" width="13.140625" style="1" customWidth="1"/>
    <col min="71" max="71" width="8.28515625" style="1" customWidth="1"/>
    <col min="72" max="72" width="10.140625" style="1" customWidth="1"/>
    <col min="73" max="16384" width="8.28515625" style="1"/>
  </cols>
  <sheetData>
    <row r="1" spans="1:70" ht="14.65" x14ac:dyDescent="0.4">
      <c r="A1" s="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70" x14ac:dyDescent="0.25">
      <c r="A2" s="228" t="s">
        <v>52</v>
      </c>
      <c r="B2" s="228"/>
      <c r="C2" s="228"/>
      <c r="D2" s="223" t="s">
        <v>210</v>
      </c>
      <c r="E2" s="223"/>
      <c r="F2" s="223"/>
      <c r="G2" s="223"/>
      <c r="H2" s="223"/>
      <c r="I2" s="223"/>
      <c r="J2" s="223"/>
      <c r="O2" s="3" t="s">
        <v>164</v>
      </c>
      <c r="P2" s="3" t="s">
        <v>164</v>
      </c>
      <c r="Q2" s="3" t="s">
        <v>165</v>
      </c>
      <c r="R2" s="3" t="s">
        <v>165</v>
      </c>
      <c r="AF2" s="4" t="s">
        <v>112</v>
      </c>
      <c r="AG2" s="237" t="s">
        <v>114</v>
      </c>
      <c r="AH2" s="237"/>
      <c r="AK2" s="4" t="s">
        <v>113</v>
      </c>
      <c r="AL2" s="237" t="s">
        <v>115</v>
      </c>
      <c r="AM2" s="237"/>
    </row>
    <row r="3" spans="1:70" x14ac:dyDescent="0.25">
      <c r="A3" s="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S3" s="5" t="s">
        <v>102</v>
      </c>
      <c r="U3" s="220" t="s">
        <v>95</v>
      </c>
      <c r="V3" s="220"/>
      <c r="W3" s="220" t="s">
        <v>96</v>
      </c>
      <c r="X3" s="220"/>
      <c r="Z3" s="3" t="s">
        <v>167</v>
      </c>
      <c r="AB3" s="3" t="s">
        <v>166</v>
      </c>
      <c r="AC3" s="5" t="s">
        <v>102</v>
      </c>
      <c r="AH3" s="6" t="s">
        <v>102</v>
      </c>
      <c r="AP3" s="4" t="s">
        <v>112</v>
      </c>
      <c r="AQ3" s="237" t="s">
        <v>114</v>
      </c>
      <c r="AR3" s="237"/>
      <c r="AU3" s="4" t="s">
        <v>112</v>
      </c>
      <c r="AV3" s="237" t="s">
        <v>115</v>
      </c>
      <c r="AW3" s="237"/>
      <c r="BA3" s="4" t="s">
        <v>112</v>
      </c>
      <c r="BB3" s="237" t="s">
        <v>114</v>
      </c>
      <c r="BC3" s="237"/>
      <c r="BF3" s="4" t="s">
        <v>112</v>
      </c>
      <c r="BG3" s="237" t="s">
        <v>157</v>
      </c>
      <c r="BH3" s="237"/>
      <c r="BK3" s="4" t="s">
        <v>112</v>
      </c>
      <c r="BL3" s="237" t="s">
        <v>114</v>
      </c>
      <c r="BM3" s="237"/>
      <c r="BP3" s="4" t="s">
        <v>112</v>
      </c>
      <c r="BQ3" s="237" t="s">
        <v>157</v>
      </c>
      <c r="BR3" s="237"/>
    </row>
    <row r="4" spans="1:70" x14ac:dyDescent="0.25">
      <c r="A4" s="224" t="s">
        <v>51</v>
      </c>
      <c r="B4" s="225"/>
      <c r="C4" s="3"/>
      <c r="D4" s="7" t="s">
        <v>54</v>
      </c>
      <c r="E4" s="8"/>
      <c r="F4" s="9" t="s">
        <v>55</v>
      </c>
      <c r="G4" s="10" t="s">
        <v>56</v>
      </c>
      <c r="H4" s="11" t="s">
        <v>57</v>
      </c>
      <c r="I4" s="12" t="s">
        <v>58</v>
      </c>
      <c r="J4" s="13" t="s">
        <v>103</v>
      </c>
      <c r="N4" s="220" t="s">
        <v>84</v>
      </c>
      <c r="O4" s="220"/>
      <c r="P4" s="229" t="s">
        <v>54</v>
      </c>
      <c r="Q4" s="230"/>
      <c r="R4" s="231"/>
      <c r="S4" s="1"/>
      <c r="U4" s="14" t="s">
        <v>91</v>
      </c>
      <c r="V4" s="15">
        <v>1</v>
      </c>
      <c r="W4" s="14" t="s">
        <v>91</v>
      </c>
      <c r="X4" s="15">
        <v>1</v>
      </c>
      <c r="Z4" s="238" t="s">
        <v>106</v>
      </c>
      <c r="AA4" s="239"/>
      <c r="AB4" s="240"/>
      <c r="AE4" s="234" t="s">
        <v>109</v>
      </c>
      <c r="AF4" s="235"/>
      <c r="AG4" s="236"/>
      <c r="AM4" s="5" t="s">
        <v>102</v>
      </c>
      <c r="AR4" s="6" t="s">
        <v>102</v>
      </c>
      <c r="AW4" s="6" t="s">
        <v>102</v>
      </c>
      <c r="BC4" s="5" t="s">
        <v>102</v>
      </c>
      <c r="BH4" s="6" t="s">
        <v>102</v>
      </c>
      <c r="BM4" s="5" t="s">
        <v>102</v>
      </c>
      <c r="BR4" s="6" t="s">
        <v>102</v>
      </c>
    </row>
    <row r="5" spans="1:70" x14ac:dyDescent="0.25">
      <c r="A5" s="226"/>
      <c r="B5" s="227"/>
      <c r="C5" s="16"/>
      <c r="D5" s="16"/>
      <c r="E5" s="17"/>
      <c r="F5" s="18"/>
      <c r="G5" s="18"/>
      <c r="H5" s="18"/>
      <c r="I5" s="18"/>
      <c r="J5" s="18"/>
      <c r="N5" s="19" t="s">
        <v>3</v>
      </c>
      <c r="O5" s="19" t="s">
        <v>93</v>
      </c>
      <c r="P5" s="19" t="s">
        <v>74</v>
      </c>
      <c r="Q5" s="19" t="s">
        <v>73</v>
      </c>
      <c r="R5" s="19" t="s">
        <v>62</v>
      </c>
      <c r="S5" s="1"/>
      <c r="U5" s="3" t="s">
        <v>90</v>
      </c>
      <c r="V5" s="20">
        <v>23</v>
      </c>
      <c r="W5" s="3" t="s">
        <v>98</v>
      </c>
      <c r="X5" s="20">
        <f>+X7/O7</f>
        <v>4</v>
      </c>
      <c r="Z5" s="21" t="s">
        <v>61</v>
      </c>
      <c r="AA5" s="21" t="s">
        <v>73</v>
      </c>
      <c r="AB5" s="21" t="s">
        <v>62</v>
      </c>
      <c r="AE5" s="22" t="s">
        <v>61</v>
      </c>
      <c r="AF5" s="22" t="s">
        <v>73</v>
      </c>
      <c r="AG5" s="22" t="s">
        <v>62</v>
      </c>
      <c r="AJ5" s="234" t="s">
        <v>109</v>
      </c>
      <c r="AK5" s="235"/>
      <c r="AL5" s="236"/>
      <c r="AO5" s="246" t="s">
        <v>116</v>
      </c>
      <c r="AP5" s="247"/>
      <c r="AQ5" s="248"/>
      <c r="AT5" s="246" t="s">
        <v>116</v>
      </c>
      <c r="AU5" s="247"/>
      <c r="AV5" s="248"/>
      <c r="AZ5" s="251" t="s">
        <v>154</v>
      </c>
      <c r="BA5" s="252"/>
      <c r="BB5" s="253"/>
      <c r="BE5" s="251" t="s">
        <v>154</v>
      </c>
      <c r="BF5" s="252"/>
      <c r="BG5" s="253"/>
      <c r="BJ5" s="256" t="s">
        <v>158</v>
      </c>
      <c r="BK5" s="257"/>
      <c r="BL5" s="258"/>
      <c r="BO5" s="256" t="s">
        <v>158</v>
      </c>
      <c r="BP5" s="257"/>
      <c r="BQ5" s="258"/>
    </row>
    <row r="6" spans="1:70" x14ac:dyDescent="0.25">
      <c r="A6" s="23" t="s">
        <v>187</v>
      </c>
      <c r="B6" s="24">
        <v>0.75</v>
      </c>
      <c r="C6" s="25"/>
      <c r="D6" s="25">
        <f>+R27</f>
        <v>8.1999999999999993</v>
      </c>
      <c r="E6" s="26"/>
      <c r="F6" s="25">
        <v>35.402999999999999</v>
      </c>
      <c r="G6" s="25">
        <f>F6*(1+$B$6)</f>
        <v>61.955249999999999</v>
      </c>
      <c r="H6" s="25">
        <f t="shared" ref="H6:J6" si="0">G6*(1+$B$6)</f>
        <v>108.4216875</v>
      </c>
      <c r="I6" s="25">
        <f t="shared" si="0"/>
        <v>189.73795312500002</v>
      </c>
      <c r="J6" s="25">
        <f t="shared" si="0"/>
        <v>332.04141796875001</v>
      </c>
      <c r="M6" s="3" t="s">
        <v>99</v>
      </c>
      <c r="N6" s="27">
        <v>2</v>
      </c>
      <c r="O6" s="27">
        <f>240</f>
        <v>240</v>
      </c>
      <c r="P6" s="3">
        <f>+$O$6*12</f>
        <v>2880</v>
      </c>
      <c r="Q6" s="28">
        <v>1</v>
      </c>
      <c r="R6" s="29">
        <f>Q6*P6</f>
        <v>2880</v>
      </c>
      <c r="S6" s="5">
        <v>2.8</v>
      </c>
      <c r="U6" s="3" t="s">
        <v>92</v>
      </c>
      <c r="V6" s="20">
        <f>+(V5*P6)*V4</f>
        <v>66240</v>
      </c>
      <c r="W6" s="3" t="s">
        <v>92</v>
      </c>
      <c r="X6" s="20">
        <f>800*12</f>
        <v>9600</v>
      </c>
      <c r="Z6" s="3">
        <f>+P11</f>
        <v>1344</v>
      </c>
      <c r="AA6" s="28">
        <f>+AB6/X10</f>
        <v>0.83333333333333337</v>
      </c>
      <c r="AB6" s="20">
        <f>(1059*12)/1.2</f>
        <v>10590</v>
      </c>
      <c r="AC6" s="5">
        <v>10.59</v>
      </c>
      <c r="AE6" s="3">
        <f>+Z6</f>
        <v>1344</v>
      </c>
      <c r="AF6" s="30">
        <f>+$AG6/AB6</f>
        <v>1.2</v>
      </c>
      <c r="AG6" s="20">
        <f>1059*12</f>
        <v>12708</v>
      </c>
      <c r="AH6" s="5">
        <v>12.7</v>
      </c>
      <c r="AJ6" s="22" t="s">
        <v>61</v>
      </c>
      <c r="AK6" s="22" t="s">
        <v>73</v>
      </c>
      <c r="AL6" s="22" t="s">
        <v>62</v>
      </c>
      <c r="AO6" s="31" t="s">
        <v>61</v>
      </c>
      <c r="AP6" s="31" t="s">
        <v>73</v>
      </c>
      <c r="AQ6" s="31" t="s">
        <v>62</v>
      </c>
      <c r="AT6" s="31" t="s">
        <v>61</v>
      </c>
      <c r="AU6" s="31" t="s">
        <v>73</v>
      </c>
      <c r="AV6" s="31" t="s">
        <v>62</v>
      </c>
      <c r="AZ6" s="32" t="s">
        <v>61</v>
      </c>
      <c r="BA6" s="32" t="s">
        <v>73</v>
      </c>
      <c r="BB6" s="32" t="s">
        <v>62</v>
      </c>
      <c r="BE6" s="32" t="s">
        <v>61</v>
      </c>
      <c r="BF6" s="32" t="s">
        <v>73</v>
      </c>
      <c r="BG6" s="32" t="s">
        <v>62</v>
      </c>
      <c r="BJ6" s="33" t="s">
        <v>61</v>
      </c>
      <c r="BK6" s="33" t="s">
        <v>73</v>
      </c>
      <c r="BL6" s="33" t="s">
        <v>62</v>
      </c>
      <c r="BO6" s="33" t="s">
        <v>61</v>
      </c>
      <c r="BP6" s="33" t="s">
        <v>73</v>
      </c>
      <c r="BQ6" s="33" t="s">
        <v>62</v>
      </c>
    </row>
    <row r="7" spans="1:70" ht="14.65" x14ac:dyDescent="0.4">
      <c r="A7" s="34" t="s">
        <v>188</v>
      </c>
      <c r="B7" s="24"/>
      <c r="C7" s="25"/>
      <c r="D7" s="25"/>
      <c r="E7" s="26"/>
      <c r="F7" s="25"/>
      <c r="G7" s="25">
        <f t="shared" ref="G7:J11" si="1">F7*(1+$B$6)</f>
        <v>0</v>
      </c>
      <c r="H7" s="25">
        <f t="shared" si="1"/>
        <v>0</v>
      </c>
      <c r="I7" s="25">
        <f t="shared" si="1"/>
        <v>0</v>
      </c>
      <c r="J7" s="25">
        <f t="shared" si="1"/>
        <v>0</v>
      </c>
      <c r="M7" s="3" t="s">
        <v>100</v>
      </c>
      <c r="N7" s="3">
        <v>2</v>
      </c>
      <c r="O7" s="3">
        <v>200</v>
      </c>
      <c r="P7" s="3">
        <f>+O7*12</f>
        <v>2400</v>
      </c>
      <c r="Q7" s="15">
        <v>0</v>
      </c>
      <c r="R7" s="20">
        <f>+Q7*P7</f>
        <v>0</v>
      </c>
      <c r="S7" s="5">
        <v>0</v>
      </c>
      <c r="U7" s="35" t="s">
        <v>97</v>
      </c>
      <c r="V7" s="3"/>
      <c r="W7" s="35" t="s">
        <v>97</v>
      </c>
      <c r="X7" s="20">
        <v>800</v>
      </c>
      <c r="AJ7" s="3">
        <f>+Z6</f>
        <v>1344</v>
      </c>
      <c r="AK7" s="15">
        <f t="shared" ref="AK7:AL7" si="2">+AA6</f>
        <v>0.83333333333333337</v>
      </c>
      <c r="AL7" s="3">
        <f t="shared" si="2"/>
        <v>10590</v>
      </c>
      <c r="AM7" s="5">
        <v>12.7</v>
      </c>
      <c r="AO7" s="3">
        <f>+AJ7</f>
        <v>1344</v>
      </c>
      <c r="AP7" s="30">
        <f>+AQ7/AL7</f>
        <v>1.2</v>
      </c>
      <c r="AQ7" s="20">
        <f>1059*12</f>
        <v>12708</v>
      </c>
      <c r="AR7" s="5">
        <v>12.7</v>
      </c>
      <c r="AT7" s="3">
        <f>+AO7</f>
        <v>1344</v>
      </c>
      <c r="AU7" s="30">
        <f>+AV7/AQ7</f>
        <v>1</v>
      </c>
      <c r="AV7" s="20">
        <f>1059*12</f>
        <v>12708</v>
      </c>
      <c r="AW7" s="5">
        <v>12.7</v>
      </c>
      <c r="AZ7" s="3">
        <f>+AT7</f>
        <v>1344</v>
      </c>
      <c r="BA7" s="30">
        <f>+AU7</f>
        <v>1</v>
      </c>
      <c r="BB7" s="20">
        <f>1059*12</f>
        <v>12708</v>
      </c>
      <c r="BC7" s="5">
        <v>12.7</v>
      </c>
      <c r="BE7" s="3">
        <f>+AZ7</f>
        <v>1344</v>
      </c>
      <c r="BF7" s="30">
        <f>+BG7/BB7</f>
        <v>1</v>
      </c>
      <c r="BG7" s="20">
        <f>1059*12</f>
        <v>12708</v>
      </c>
      <c r="BH7" s="5">
        <v>12.7</v>
      </c>
      <c r="BJ7" s="3">
        <f>+BE7</f>
        <v>1344</v>
      </c>
      <c r="BK7" s="30">
        <f>+BL7/BG7</f>
        <v>1</v>
      </c>
      <c r="BL7" s="20">
        <f>1059*12</f>
        <v>12708</v>
      </c>
      <c r="BM7" s="5">
        <v>12.7</v>
      </c>
      <c r="BO7" s="3">
        <f>+BJ7</f>
        <v>1344</v>
      </c>
      <c r="BP7" s="30">
        <f>+BQ7/BL7</f>
        <v>1</v>
      </c>
      <c r="BQ7" s="20">
        <f>1059*12</f>
        <v>12708</v>
      </c>
      <c r="BR7" s="5">
        <v>12.7</v>
      </c>
    </row>
    <row r="8" spans="1:70" ht="14.65" x14ac:dyDescent="0.4">
      <c r="A8" s="23" t="s">
        <v>189</v>
      </c>
      <c r="B8" s="24">
        <v>0.5</v>
      </c>
      <c r="C8" s="25"/>
      <c r="D8" s="25">
        <f>+R14</f>
        <v>0</v>
      </c>
      <c r="E8" s="26"/>
      <c r="F8" s="25">
        <v>20.09</v>
      </c>
      <c r="G8" s="25">
        <f>F8*(1+$B$8)</f>
        <v>30.134999999999998</v>
      </c>
      <c r="H8" s="25">
        <f t="shared" ref="H8" si="3">G8*(1+$B$8)</f>
        <v>45.202500000000001</v>
      </c>
      <c r="I8" s="25">
        <f>H8*(0.8+$B$8)</f>
        <v>58.763249999999999</v>
      </c>
      <c r="J8" s="25">
        <f>I8*(0.5+$B$8)</f>
        <v>58.763249999999999</v>
      </c>
      <c r="N8" s="220" t="s">
        <v>94</v>
      </c>
      <c r="O8" s="220"/>
      <c r="P8" s="229" t="s">
        <v>54</v>
      </c>
      <c r="Q8" s="230"/>
      <c r="R8" s="231"/>
      <c r="S8" s="1"/>
      <c r="U8" s="14" t="s">
        <v>91</v>
      </c>
      <c r="V8" s="15">
        <v>1</v>
      </c>
      <c r="W8" s="14" t="s">
        <v>91</v>
      </c>
      <c r="X8" s="15">
        <v>1</v>
      </c>
      <c r="Z8" s="238" t="s">
        <v>107</v>
      </c>
      <c r="AA8" s="239"/>
      <c r="AB8" s="240"/>
      <c r="AE8" s="234" t="s">
        <v>110</v>
      </c>
      <c r="AF8" s="235"/>
      <c r="AG8" s="236"/>
    </row>
    <row r="9" spans="1:70" x14ac:dyDescent="0.25">
      <c r="A9" s="34" t="s">
        <v>190</v>
      </c>
      <c r="B9" s="24"/>
      <c r="C9" s="25"/>
      <c r="D9" s="25"/>
      <c r="E9" s="26"/>
      <c r="F9" s="25"/>
      <c r="G9" s="25">
        <f t="shared" si="1"/>
        <v>0</v>
      </c>
      <c r="H9" s="25">
        <f t="shared" si="1"/>
        <v>0</v>
      </c>
      <c r="I9" s="25">
        <f t="shared" si="1"/>
        <v>0</v>
      </c>
      <c r="J9" s="25">
        <f t="shared" si="1"/>
        <v>0</v>
      </c>
      <c r="N9" s="19" t="s">
        <v>3</v>
      </c>
      <c r="O9" s="19" t="s">
        <v>93</v>
      </c>
      <c r="P9" s="19" t="s">
        <v>74</v>
      </c>
      <c r="Q9" s="19" t="s">
        <v>73</v>
      </c>
      <c r="R9" s="19" t="s">
        <v>101</v>
      </c>
      <c r="S9" s="1"/>
      <c r="U9" s="3" t="s">
        <v>90</v>
      </c>
      <c r="V9" s="20">
        <v>23</v>
      </c>
      <c r="W9" s="3" t="s">
        <v>90</v>
      </c>
      <c r="X9" s="20">
        <f>+X11/O11</f>
        <v>9.4553571428571423</v>
      </c>
      <c r="Z9" s="21" t="s">
        <v>61</v>
      </c>
      <c r="AA9" s="21" t="s">
        <v>73</v>
      </c>
      <c r="AB9" s="21" t="s">
        <v>62</v>
      </c>
      <c r="AE9" s="22" t="s">
        <v>61</v>
      </c>
      <c r="AF9" s="22" t="s">
        <v>73</v>
      </c>
      <c r="AG9" s="22" t="s">
        <v>62</v>
      </c>
      <c r="AJ9" s="234" t="s">
        <v>110</v>
      </c>
      <c r="AK9" s="235"/>
      <c r="AL9" s="236"/>
      <c r="AO9" s="246" t="s">
        <v>117</v>
      </c>
      <c r="AP9" s="247"/>
      <c r="AQ9" s="248"/>
      <c r="AT9" s="246" t="s">
        <v>117</v>
      </c>
      <c r="AU9" s="247"/>
      <c r="AV9" s="248"/>
      <c r="AZ9" s="251" t="s">
        <v>155</v>
      </c>
      <c r="BA9" s="252"/>
      <c r="BB9" s="253"/>
      <c r="BE9" s="251" t="s">
        <v>155</v>
      </c>
      <c r="BF9" s="252"/>
      <c r="BG9" s="253"/>
      <c r="BJ9" s="256" t="s">
        <v>159</v>
      </c>
      <c r="BK9" s="257"/>
      <c r="BL9" s="258"/>
      <c r="BO9" s="256" t="s">
        <v>159</v>
      </c>
      <c r="BP9" s="257"/>
      <c r="BQ9" s="258"/>
    </row>
    <row r="10" spans="1:70" x14ac:dyDescent="0.25">
      <c r="A10" s="23" t="s">
        <v>191</v>
      </c>
      <c r="B10" s="24">
        <v>0.02</v>
      </c>
      <c r="C10" s="25"/>
      <c r="D10" s="25">
        <f>+S7+S11</f>
        <v>5.2</v>
      </c>
      <c r="E10" s="26"/>
      <c r="F10" s="25">
        <v>15.917999999999999</v>
      </c>
      <c r="G10" s="25">
        <v>36.576000000000001</v>
      </c>
      <c r="H10" s="25">
        <f t="shared" ref="H10:J10" si="4">G10*(1+$B$10)</f>
        <v>37.307520000000004</v>
      </c>
      <c r="I10" s="25">
        <f t="shared" si="4"/>
        <v>38.053670400000001</v>
      </c>
      <c r="J10" s="25">
        <f t="shared" si="4"/>
        <v>38.814743808000003</v>
      </c>
      <c r="M10" s="3" t="s">
        <v>99</v>
      </c>
      <c r="N10" s="27">
        <v>1</v>
      </c>
      <c r="O10" s="27">
        <v>152</v>
      </c>
      <c r="P10" s="3">
        <f>+$O$6*12</f>
        <v>2880</v>
      </c>
      <c r="Q10" s="28">
        <v>1</v>
      </c>
      <c r="R10" s="20">
        <f>Q10*P10</f>
        <v>2880</v>
      </c>
      <c r="S10" s="1"/>
      <c r="U10" s="3" t="s">
        <v>92</v>
      </c>
      <c r="V10" s="20">
        <f>+(V9*P10)*V8</f>
        <v>66240</v>
      </c>
      <c r="W10" s="3" t="s">
        <v>92</v>
      </c>
      <c r="X10" s="20">
        <f>1059*12</f>
        <v>12708</v>
      </c>
      <c r="Z10" s="3">
        <f>+P7</f>
        <v>2400</v>
      </c>
      <c r="AA10" s="28">
        <f>+AB10/X6</f>
        <v>0.83333333333333337</v>
      </c>
      <c r="AB10" s="20">
        <f>(800*12)/1.2</f>
        <v>8000</v>
      </c>
      <c r="AC10" s="5">
        <v>8</v>
      </c>
      <c r="AE10" s="3">
        <f>+Z10</f>
        <v>2400</v>
      </c>
      <c r="AF10" s="28">
        <f>+AG10/AB10</f>
        <v>1.2</v>
      </c>
      <c r="AG10" s="20">
        <f>800*12</f>
        <v>9600</v>
      </c>
      <c r="AH10" s="5">
        <v>9.6</v>
      </c>
      <c r="AJ10" s="22" t="s">
        <v>61</v>
      </c>
      <c r="AK10" s="22" t="s">
        <v>73</v>
      </c>
      <c r="AL10" s="22" t="s">
        <v>62</v>
      </c>
      <c r="AO10" s="31" t="s">
        <v>61</v>
      </c>
      <c r="AP10" s="31" t="s">
        <v>73</v>
      </c>
      <c r="AQ10" s="31" t="s">
        <v>62</v>
      </c>
      <c r="AT10" s="31" t="s">
        <v>61</v>
      </c>
      <c r="AU10" s="31" t="s">
        <v>73</v>
      </c>
      <c r="AV10" s="31" t="s">
        <v>62</v>
      </c>
      <c r="AZ10" s="32" t="s">
        <v>61</v>
      </c>
      <c r="BA10" s="32" t="s">
        <v>73</v>
      </c>
      <c r="BB10" s="32" t="s">
        <v>62</v>
      </c>
      <c r="BE10" s="32" t="s">
        <v>61</v>
      </c>
      <c r="BF10" s="32" t="s">
        <v>73</v>
      </c>
      <c r="BG10" s="32" t="s">
        <v>62</v>
      </c>
      <c r="BJ10" s="33" t="s">
        <v>61</v>
      </c>
      <c r="BK10" s="33" t="s">
        <v>73</v>
      </c>
      <c r="BL10" s="33" t="s">
        <v>62</v>
      </c>
      <c r="BO10" s="33" t="s">
        <v>61</v>
      </c>
      <c r="BP10" s="33" t="s">
        <v>73</v>
      </c>
      <c r="BQ10" s="33" t="s">
        <v>62</v>
      </c>
    </row>
    <row r="11" spans="1:70" ht="14.65" x14ac:dyDescent="0.4">
      <c r="A11" s="34" t="s">
        <v>192</v>
      </c>
      <c r="B11" s="24"/>
      <c r="C11" s="25"/>
      <c r="D11" s="25"/>
      <c r="E11" s="26"/>
      <c r="F11" s="25"/>
      <c r="G11" s="25">
        <f t="shared" si="1"/>
        <v>0</v>
      </c>
      <c r="H11" s="25">
        <f t="shared" si="1"/>
        <v>0</v>
      </c>
      <c r="I11" s="25">
        <f t="shared" si="1"/>
        <v>0</v>
      </c>
      <c r="J11" s="25">
        <f t="shared" si="1"/>
        <v>0</v>
      </c>
      <c r="M11" s="3" t="s">
        <v>100</v>
      </c>
      <c r="N11" s="3">
        <v>1</v>
      </c>
      <c r="O11" s="3">
        <v>112</v>
      </c>
      <c r="P11" s="3">
        <f>+O11*12</f>
        <v>1344</v>
      </c>
      <c r="Q11" s="15">
        <v>1</v>
      </c>
      <c r="R11" s="29">
        <f>+(X9*P11)/Q11</f>
        <v>12708</v>
      </c>
      <c r="S11" s="5">
        <v>5.2</v>
      </c>
      <c r="U11" s="35" t="s">
        <v>97</v>
      </c>
      <c r="V11" s="3"/>
      <c r="W11" s="35" t="s">
        <v>97</v>
      </c>
      <c r="X11" s="20">
        <v>1059</v>
      </c>
      <c r="Z11" s="3" t="s">
        <v>169</v>
      </c>
      <c r="AC11" s="5">
        <f>+AC6+AC10</f>
        <v>18.59</v>
      </c>
      <c r="AJ11" s="3">
        <f>+Z10</f>
        <v>2400</v>
      </c>
      <c r="AK11" s="15">
        <f t="shared" ref="AK11:AL11" si="5">+AA10</f>
        <v>0.83333333333333337</v>
      </c>
      <c r="AL11" s="3">
        <f t="shared" si="5"/>
        <v>8000</v>
      </c>
      <c r="AM11" s="5">
        <v>9.6</v>
      </c>
      <c r="AO11" s="3">
        <f>+AJ11</f>
        <v>2400</v>
      </c>
      <c r="AP11" s="28">
        <f>+AQ11/AL11</f>
        <v>1.2</v>
      </c>
      <c r="AQ11" s="20">
        <f>800*12</f>
        <v>9600</v>
      </c>
      <c r="AR11" s="5">
        <v>9.6</v>
      </c>
      <c r="AT11" s="3">
        <f>+AO11</f>
        <v>2400</v>
      </c>
      <c r="AU11" s="28">
        <f>+AV11/AQ11</f>
        <v>1</v>
      </c>
      <c r="AV11" s="20">
        <f>800*12</f>
        <v>9600</v>
      </c>
      <c r="AW11" s="5">
        <v>9.6</v>
      </c>
      <c r="AZ11" s="3">
        <f>+AT11</f>
        <v>2400</v>
      </c>
      <c r="BA11" s="28">
        <f>+AU11</f>
        <v>1</v>
      </c>
      <c r="BB11" s="20">
        <f>800*12</f>
        <v>9600</v>
      </c>
      <c r="BC11" s="5">
        <v>9.6</v>
      </c>
      <c r="BE11" s="3">
        <f>+AZ11</f>
        <v>2400</v>
      </c>
      <c r="BF11" s="28">
        <f>+BG11/BB11</f>
        <v>1</v>
      </c>
      <c r="BG11" s="20">
        <f>800*12</f>
        <v>9600</v>
      </c>
      <c r="BH11" s="5">
        <v>9.6</v>
      </c>
      <c r="BJ11" s="3">
        <f>+BE11</f>
        <v>2400</v>
      </c>
      <c r="BK11" s="28">
        <f>+BL11/BG11</f>
        <v>1</v>
      </c>
      <c r="BL11" s="20">
        <f>800*12</f>
        <v>9600</v>
      </c>
      <c r="BM11" s="5">
        <v>9.6</v>
      </c>
      <c r="BO11" s="3">
        <f>+BJ11</f>
        <v>2400</v>
      </c>
      <c r="BP11" s="28">
        <f>+BQ11/BL11</f>
        <v>1</v>
      </c>
      <c r="BQ11" s="20">
        <f>800*12</f>
        <v>9600</v>
      </c>
      <c r="BR11" s="5">
        <v>9.6</v>
      </c>
    </row>
    <row r="12" spans="1:70" x14ac:dyDescent="0.25">
      <c r="A12" s="23" t="s">
        <v>197</v>
      </c>
      <c r="B12" s="15">
        <v>0.5</v>
      </c>
      <c r="C12" s="25"/>
      <c r="D12" s="25">
        <f>+U48</f>
        <v>7.5</v>
      </c>
      <c r="E12" s="26"/>
      <c r="F12" s="36">
        <v>11.554</v>
      </c>
      <c r="G12" s="25">
        <f>F12*(1+$B$12)</f>
        <v>17.331</v>
      </c>
      <c r="H12" s="25">
        <f t="shared" ref="H12:I12" si="6">G12*(1+$B$12)</f>
        <v>25.996499999999997</v>
      </c>
      <c r="I12" s="25">
        <f t="shared" si="6"/>
        <v>38.994749999999996</v>
      </c>
      <c r="J12" s="25">
        <f>I12*(0.5+$B$12)</f>
        <v>38.994749999999996</v>
      </c>
      <c r="N12" s="220" t="s">
        <v>65</v>
      </c>
      <c r="O12" s="220"/>
      <c r="P12" s="220"/>
      <c r="Q12" s="220" t="s">
        <v>54</v>
      </c>
      <c r="R12" s="220"/>
      <c r="S12" s="1"/>
    </row>
    <row r="13" spans="1:70" x14ac:dyDescent="0.25">
      <c r="A13" s="37" t="s">
        <v>206</v>
      </c>
      <c r="B13" s="37"/>
      <c r="C13" s="37"/>
      <c r="D13" s="37"/>
      <c r="E13" s="37"/>
      <c r="F13" s="38">
        <v>0.28000000000000003</v>
      </c>
      <c r="G13" s="38">
        <v>0.4</v>
      </c>
      <c r="H13" s="38">
        <v>0.6</v>
      </c>
      <c r="I13" s="38">
        <v>0.7</v>
      </c>
      <c r="J13" s="38">
        <v>0.8</v>
      </c>
      <c r="N13" s="229" t="s">
        <v>63</v>
      </c>
      <c r="O13" s="231"/>
      <c r="P13" s="19" t="s">
        <v>64</v>
      </c>
      <c r="Q13" s="19" t="s">
        <v>73</v>
      </c>
      <c r="R13" s="19" t="s">
        <v>69</v>
      </c>
      <c r="S13" s="1"/>
      <c r="Z13" s="238" t="s">
        <v>75</v>
      </c>
      <c r="AA13" s="241"/>
      <c r="AB13" s="242"/>
      <c r="AE13" s="234" t="s">
        <v>77</v>
      </c>
      <c r="AF13" s="243"/>
      <c r="AG13" s="244"/>
    </row>
    <row r="14" spans="1:70" x14ac:dyDescent="0.25">
      <c r="A14" s="39" t="s">
        <v>0</v>
      </c>
      <c r="B14" s="40"/>
      <c r="C14" s="25"/>
      <c r="D14" s="41">
        <f>D6+D8+D10+D12</f>
        <v>20.9</v>
      </c>
      <c r="E14" s="42"/>
      <c r="F14" s="43">
        <f>F6+F8+F10+F12</f>
        <v>82.965000000000003</v>
      </c>
      <c r="G14" s="43">
        <f>+G6+G8+G10+G12</f>
        <v>145.99724999999998</v>
      </c>
      <c r="H14" s="43">
        <f>+H6+H7+H8+H9+H10+H11+H12</f>
        <v>216.92820750000001</v>
      </c>
      <c r="I14" s="41">
        <f>+I6+I7+I8+I9+I10+I11+I12</f>
        <v>325.54962352500002</v>
      </c>
      <c r="J14" s="41">
        <f>+J6+J7+J8+J9+J10+J11+J12</f>
        <v>468.61416177675</v>
      </c>
      <c r="N14" s="232">
        <v>170</v>
      </c>
      <c r="O14" s="233"/>
      <c r="P14" s="44">
        <f>+($N$14*41.58)*12</f>
        <v>84823.2</v>
      </c>
      <c r="Q14" s="45">
        <v>0</v>
      </c>
      <c r="R14" s="46">
        <f>+Q14*P14</f>
        <v>0</v>
      </c>
      <c r="S14" s="5"/>
      <c r="Z14" s="21" t="s">
        <v>71</v>
      </c>
      <c r="AA14" s="21" t="s">
        <v>72</v>
      </c>
      <c r="AB14" s="47" t="s">
        <v>62</v>
      </c>
      <c r="AE14" s="22" t="s">
        <v>71</v>
      </c>
      <c r="AF14" s="22" t="s">
        <v>72</v>
      </c>
      <c r="AG14" s="48" t="s">
        <v>62</v>
      </c>
      <c r="AO14" s="246" t="s">
        <v>79</v>
      </c>
      <c r="AP14" s="249"/>
      <c r="AQ14" s="250"/>
      <c r="AZ14" s="254" t="s">
        <v>81</v>
      </c>
      <c r="BA14" s="254"/>
      <c r="BB14" s="254"/>
      <c r="BJ14" s="255" t="s">
        <v>160</v>
      </c>
      <c r="BK14" s="255"/>
      <c r="BL14" s="255"/>
    </row>
    <row r="15" spans="1:70" ht="14.65" x14ac:dyDescent="0.4">
      <c r="A15" s="35" t="s">
        <v>173</v>
      </c>
      <c r="B15" s="24">
        <v>0.02</v>
      </c>
      <c r="C15" s="25"/>
      <c r="D15" s="25">
        <v>52.9</v>
      </c>
      <c r="E15" s="26"/>
      <c r="F15" s="25">
        <v>43.332000000000001</v>
      </c>
      <c r="G15" s="25">
        <f>F15*(1+$B$15)</f>
        <v>44.198640000000005</v>
      </c>
      <c r="H15" s="25">
        <f t="shared" ref="H15:J15" si="7">G15*(1+$B$15)</f>
        <v>45.082612800000007</v>
      </c>
      <c r="I15" s="25">
        <f t="shared" si="7"/>
        <v>45.984265056000005</v>
      </c>
      <c r="J15" s="25">
        <f t="shared" si="7"/>
        <v>46.903950357120003</v>
      </c>
      <c r="N15" s="49"/>
      <c r="O15" s="49"/>
      <c r="P15" s="50"/>
      <c r="Q15" s="51"/>
      <c r="R15" s="52"/>
      <c r="S15" s="53"/>
      <c r="Z15" s="21"/>
      <c r="AA15" s="21"/>
      <c r="AB15" s="47"/>
      <c r="AE15" s="22"/>
      <c r="AF15" s="22"/>
      <c r="AG15" s="48"/>
      <c r="AO15" s="54"/>
      <c r="AP15" s="55"/>
      <c r="AQ15" s="56"/>
      <c r="AZ15" s="57"/>
      <c r="BA15" s="57"/>
      <c r="BB15" s="57"/>
      <c r="BJ15" s="58"/>
      <c r="BK15" s="58"/>
      <c r="BL15" s="58"/>
    </row>
    <row r="16" spans="1:70" x14ac:dyDescent="0.25">
      <c r="A16" s="35" t="s">
        <v>175</v>
      </c>
      <c r="B16" s="24">
        <v>0.02</v>
      </c>
      <c r="C16" s="25"/>
      <c r="D16" s="25">
        <v>11.14</v>
      </c>
      <c r="E16" s="26"/>
      <c r="F16" s="25">
        <f>D16*(1+$B$16)</f>
        <v>11.3628</v>
      </c>
      <c r="G16" s="25">
        <f>F16*(1+$B$16)</f>
        <v>11.590056000000001</v>
      </c>
      <c r="H16" s="25">
        <v>25</v>
      </c>
      <c r="I16" s="25">
        <v>35</v>
      </c>
      <c r="J16" s="25">
        <v>55</v>
      </c>
      <c r="Z16" s="59">
        <f>+$P$48*$Q$48</f>
        <v>34650</v>
      </c>
      <c r="AA16" s="60">
        <f>+AB16/Z16</f>
        <v>0.30014430014430016</v>
      </c>
      <c r="AB16" s="20">
        <v>10400</v>
      </c>
      <c r="AC16" s="5">
        <v>10.4</v>
      </c>
      <c r="AE16" s="59">
        <f>+$P$48*$Q$48</f>
        <v>34650</v>
      </c>
      <c r="AF16" s="60">
        <f>+AG16/AE16</f>
        <v>1.184935064935065</v>
      </c>
      <c r="AG16" s="20">
        <v>41058</v>
      </c>
      <c r="AH16" s="5">
        <v>41.58</v>
      </c>
      <c r="AO16" s="31" t="s">
        <v>71</v>
      </c>
      <c r="AP16" s="31" t="s">
        <v>72</v>
      </c>
      <c r="AQ16" s="61" t="s">
        <v>62</v>
      </c>
      <c r="AZ16" s="32" t="s">
        <v>71</v>
      </c>
      <c r="BA16" s="32" t="s">
        <v>72</v>
      </c>
      <c r="BB16" s="62" t="s">
        <v>62</v>
      </c>
      <c r="BJ16" s="33" t="s">
        <v>71</v>
      </c>
      <c r="BK16" s="33" t="s">
        <v>72</v>
      </c>
      <c r="BL16" s="63" t="s">
        <v>62</v>
      </c>
    </row>
    <row r="17" spans="1:70" ht="14.65" x14ac:dyDescent="0.4">
      <c r="A17" s="35" t="s">
        <v>174</v>
      </c>
      <c r="B17" s="24">
        <v>0.02</v>
      </c>
      <c r="C17" s="25"/>
      <c r="D17" s="25">
        <v>0.9</v>
      </c>
      <c r="E17" s="26"/>
      <c r="F17" s="25">
        <v>0</v>
      </c>
      <c r="G17" s="25">
        <f>F17*(1+$B$17)</f>
        <v>0</v>
      </c>
      <c r="H17" s="25">
        <f t="shared" ref="H17:J17" si="8">G17*(1+$B$17)</f>
        <v>0</v>
      </c>
      <c r="I17" s="25">
        <f t="shared" si="8"/>
        <v>0</v>
      </c>
      <c r="J17" s="25">
        <f t="shared" si="8"/>
        <v>0</v>
      </c>
      <c r="L17" s="110" t="s">
        <v>211</v>
      </c>
      <c r="N17" s="220" t="s">
        <v>4</v>
      </c>
      <c r="O17" s="220"/>
      <c r="P17" s="220"/>
      <c r="AO17" s="59">
        <f>+$P$48*$Q$48</f>
        <v>34650</v>
      </c>
      <c r="AP17" s="60">
        <f>+AQ17/AO17</f>
        <v>1.184935064935065</v>
      </c>
      <c r="AQ17" s="20">
        <v>41058</v>
      </c>
      <c r="AR17" s="5">
        <v>41.58</v>
      </c>
      <c r="AZ17" s="59">
        <f>+$P$48*$Q$48</f>
        <v>34650</v>
      </c>
      <c r="BA17" s="60">
        <f>+BB17/AZ17</f>
        <v>1.184935064935065</v>
      </c>
      <c r="BB17" s="20">
        <v>41058</v>
      </c>
      <c r="BC17" s="5">
        <v>41.58</v>
      </c>
      <c r="BJ17" s="59">
        <f>+$P$48*$Q$48</f>
        <v>34650</v>
      </c>
      <c r="BK17" s="60">
        <f>+BL17/BJ17</f>
        <v>1.184935064935065</v>
      </c>
      <c r="BL17" s="20">
        <v>41058</v>
      </c>
      <c r="BM17" s="5">
        <v>41.58</v>
      </c>
    </row>
    <row r="18" spans="1:70" x14ac:dyDescent="0.25">
      <c r="A18" s="35" t="s">
        <v>170</v>
      </c>
      <c r="B18" s="24">
        <v>0.02</v>
      </c>
      <c r="C18" s="25"/>
      <c r="D18" s="25">
        <v>3</v>
      </c>
      <c r="E18" s="26"/>
      <c r="F18" s="25">
        <v>4.43</v>
      </c>
      <c r="G18" s="25">
        <f>F18*(1+$B$18)</f>
        <v>4.5186000000000002</v>
      </c>
      <c r="H18" s="25">
        <f>G18*(1+$B$18)</f>
        <v>4.6089720000000005</v>
      </c>
      <c r="I18" s="25">
        <f>H18*(1+$B$18)</f>
        <v>4.7011514400000003</v>
      </c>
      <c r="J18" s="25">
        <f>I18*(1+$B$18)</f>
        <v>4.7951744688</v>
      </c>
      <c r="L18" s="110"/>
      <c r="N18" s="19" t="s">
        <v>1</v>
      </c>
      <c r="O18" s="19" t="s">
        <v>5</v>
      </c>
      <c r="P18" s="19" t="s">
        <v>6</v>
      </c>
    </row>
    <row r="19" spans="1:70" x14ac:dyDescent="0.25">
      <c r="A19" s="35" t="s">
        <v>209</v>
      </c>
      <c r="B19" s="24">
        <v>0.02</v>
      </c>
      <c r="C19" s="25"/>
      <c r="D19" s="25">
        <v>13.1</v>
      </c>
      <c r="E19" s="26"/>
      <c r="F19" s="25">
        <v>28.484999999999999</v>
      </c>
      <c r="G19" s="25"/>
      <c r="H19" s="25">
        <v>18</v>
      </c>
      <c r="I19" s="25">
        <f>H19*(1+$B$19)</f>
        <v>18.36</v>
      </c>
      <c r="J19" s="25">
        <f>I19*(1+$B$19)</f>
        <v>18.7272</v>
      </c>
      <c r="L19" s="110" t="s">
        <v>218</v>
      </c>
      <c r="N19" s="45">
        <v>0.05</v>
      </c>
      <c r="O19" s="27">
        <v>400000</v>
      </c>
      <c r="P19" s="3">
        <f>O19*N19</f>
        <v>20000</v>
      </c>
      <c r="Z19" s="223" t="s">
        <v>163</v>
      </c>
      <c r="AA19" s="223"/>
      <c r="AB19" s="223"/>
    </row>
    <row r="20" spans="1:70" x14ac:dyDescent="0.25">
      <c r="A20" s="35" t="s">
        <v>193</v>
      </c>
      <c r="B20" s="24">
        <v>0.02</v>
      </c>
      <c r="C20" s="25"/>
      <c r="D20" s="25"/>
      <c r="E20" s="26"/>
      <c r="F20" s="25"/>
      <c r="G20" s="25">
        <v>25</v>
      </c>
      <c r="H20" s="25">
        <v>40</v>
      </c>
      <c r="I20" s="25">
        <f t="shared" ref="I20:J20" si="9">H20*(1+$B$20)</f>
        <v>40.799999999999997</v>
      </c>
      <c r="J20" s="25">
        <f t="shared" si="9"/>
        <v>41.616</v>
      </c>
      <c r="L20" s="110" t="s">
        <v>212</v>
      </c>
      <c r="Z20" s="238" t="s">
        <v>76</v>
      </c>
      <c r="AA20" s="239"/>
      <c r="AB20" s="240"/>
      <c r="AE20" s="234" t="s">
        <v>78</v>
      </c>
      <c r="AF20" s="235"/>
      <c r="AG20" s="236"/>
    </row>
    <row r="21" spans="1:70" x14ac:dyDescent="0.25">
      <c r="A21" s="35" t="s">
        <v>171</v>
      </c>
      <c r="B21" s="24">
        <v>0.02</v>
      </c>
      <c r="C21" s="25"/>
      <c r="D21" s="25">
        <v>11</v>
      </c>
      <c r="E21" s="26"/>
      <c r="F21" s="25">
        <v>11.4</v>
      </c>
      <c r="G21" s="25">
        <f>F21*(0.8+$B$21)</f>
        <v>9.3480000000000008</v>
      </c>
      <c r="H21" s="25">
        <f t="shared" ref="H21:J21" si="10">G21*(0.8+$B$21)</f>
        <v>7.6653600000000015</v>
      </c>
      <c r="I21" s="25">
        <f t="shared" si="10"/>
        <v>6.2855952000000013</v>
      </c>
      <c r="J21" s="25">
        <f t="shared" si="10"/>
        <v>5.1541880640000013</v>
      </c>
      <c r="L21" s="110" t="s">
        <v>213</v>
      </c>
      <c r="Z21" s="21" t="s">
        <v>64</v>
      </c>
      <c r="AA21" s="21" t="s">
        <v>73</v>
      </c>
      <c r="AB21" s="21" t="s">
        <v>69</v>
      </c>
      <c r="AE21" s="22" t="s">
        <v>64</v>
      </c>
      <c r="AF21" s="22" t="s">
        <v>73</v>
      </c>
      <c r="AG21" s="22" t="s">
        <v>69</v>
      </c>
      <c r="AJ21" s="234" t="s">
        <v>78</v>
      </c>
      <c r="AK21" s="235"/>
      <c r="AL21" s="236"/>
      <c r="AO21" s="245" t="s">
        <v>80</v>
      </c>
      <c r="AP21" s="245"/>
      <c r="AQ21" s="245"/>
      <c r="AT21" s="245" t="s">
        <v>80</v>
      </c>
      <c r="AU21" s="245"/>
      <c r="AV21" s="245"/>
      <c r="AZ21" s="254" t="s">
        <v>82</v>
      </c>
      <c r="BA21" s="254"/>
      <c r="BB21" s="254"/>
      <c r="BE21" s="254" t="s">
        <v>82</v>
      </c>
      <c r="BF21" s="254"/>
      <c r="BG21" s="254"/>
      <c r="BJ21" s="255" t="s">
        <v>161</v>
      </c>
      <c r="BK21" s="255"/>
      <c r="BL21" s="255"/>
      <c r="BO21" s="255" t="s">
        <v>161</v>
      </c>
      <c r="BP21" s="255"/>
      <c r="BQ21" s="255"/>
    </row>
    <row r="22" spans="1:70" x14ac:dyDescent="0.25">
      <c r="A22" s="35" t="s">
        <v>182</v>
      </c>
      <c r="B22" s="24">
        <v>0.02</v>
      </c>
      <c r="C22" s="25"/>
      <c r="D22" s="25">
        <v>13</v>
      </c>
      <c r="E22" s="26"/>
      <c r="F22" s="25">
        <v>5.7329999999999997</v>
      </c>
      <c r="G22" s="25">
        <f>F22*(3+$B$22)</f>
        <v>17.313659999999999</v>
      </c>
      <c r="H22" s="25">
        <f>G22*(1+$B$22)</f>
        <v>17.659933199999998</v>
      </c>
      <c r="I22" s="25">
        <f>H22*(1+$B$22)</f>
        <v>18.013131863999998</v>
      </c>
      <c r="J22" s="25">
        <f>I22*(1+$B$22)</f>
        <v>18.37339450128</v>
      </c>
      <c r="L22" s="110" t="s">
        <v>214</v>
      </c>
      <c r="Z22" s="44">
        <v>84830</v>
      </c>
      <c r="AA22" s="28">
        <f>+AB22/Z22</f>
        <v>0.14980549333962043</v>
      </c>
      <c r="AB22" s="20">
        <v>12708</v>
      </c>
      <c r="AC22" s="5">
        <v>12.97</v>
      </c>
      <c r="AE22" s="44">
        <f>+($N$14*49.9)*12</f>
        <v>101796</v>
      </c>
      <c r="AF22" s="28">
        <f>+AG22/AE22</f>
        <v>0.69772879091516371</v>
      </c>
      <c r="AG22" s="20">
        <v>71026</v>
      </c>
      <c r="AH22" s="5">
        <v>71.260000000000005</v>
      </c>
      <c r="AJ22" s="22" t="s">
        <v>64</v>
      </c>
      <c r="AK22" s="22" t="s">
        <v>73</v>
      </c>
      <c r="AL22" s="22" t="s">
        <v>69</v>
      </c>
      <c r="AO22" s="31" t="s">
        <v>64</v>
      </c>
      <c r="AP22" s="31" t="s">
        <v>73</v>
      </c>
      <c r="AQ22" s="31" t="s">
        <v>69</v>
      </c>
      <c r="AT22" s="31" t="s">
        <v>64</v>
      </c>
      <c r="AU22" s="31" t="s">
        <v>73</v>
      </c>
      <c r="AV22" s="31" t="s">
        <v>69</v>
      </c>
      <c r="AZ22" s="32" t="s">
        <v>64</v>
      </c>
      <c r="BA22" s="32" t="s">
        <v>73</v>
      </c>
      <c r="BB22" s="32" t="s">
        <v>69</v>
      </c>
      <c r="BE22" s="32" t="s">
        <v>64</v>
      </c>
      <c r="BF22" s="32" t="s">
        <v>73</v>
      </c>
      <c r="BG22" s="32" t="s">
        <v>69</v>
      </c>
      <c r="BJ22" s="33" t="s">
        <v>64</v>
      </c>
      <c r="BK22" s="33" t="s">
        <v>73</v>
      </c>
      <c r="BL22" s="33" t="s">
        <v>69</v>
      </c>
      <c r="BO22" s="33" t="s">
        <v>64</v>
      </c>
      <c r="BP22" s="33" t="s">
        <v>73</v>
      </c>
      <c r="BQ22" s="33" t="s">
        <v>69</v>
      </c>
    </row>
    <row r="23" spans="1:70" x14ac:dyDescent="0.25">
      <c r="A23" s="35" t="s">
        <v>181</v>
      </c>
      <c r="B23" s="24">
        <v>0.02</v>
      </c>
      <c r="C23" s="25"/>
      <c r="D23" s="25">
        <v>1.1000000000000001</v>
      </c>
      <c r="E23" s="26"/>
      <c r="F23" s="25">
        <v>1.2</v>
      </c>
      <c r="G23" s="25">
        <f>F23*(1+$B$23)</f>
        <v>1.224</v>
      </c>
      <c r="H23" s="25">
        <f t="shared" ref="H23:J23" si="11">G23*(1+$B$23)</f>
        <v>1.24848</v>
      </c>
      <c r="I23" s="25">
        <f t="shared" si="11"/>
        <v>1.2734496</v>
      </c>
      <c r="J23" s="25">
        <f t="shared" si="11"/>
        <v>1.2989185919999999</v>
      </c>
      <c r="L23" s="110" t="s">
        <v>215</v>
      </c>
      <c r="AJ23" s="44">
        <f>+($N$14*49.9)*12</f>
        <v>101796</v>
      </c>
      <c r="AK23" s="28">
        <f>+AL23/AJ23</f>
        <v>0.39365004518841606</v>
      </c>
      <c r="AL23" s="20">
        <v>40072</v>
      </c>
      <c r="AM23" s="5">
        <v>40.72</v>
      </c>
      <c r="AO23" s="44">
        <f>+($N$14*49.9)*12</f>
        <v>101796</v>
      </c>
      <c r="AP23" s="28">
        <f>+AQ23/AO23</f>
        <v>0.99296632480647573</v>
      </c>
      <c r="AQ23" s="20">
        <v>101080</v>
      </c>
      <c r="AR23" s="5">
        <v>101.8</v>
      </c>
      <c r="AT23" s="44">
        <f>+($N$14*49.9)*12</f>
        <v>101796</v>
      </c>
      <c r="AU23" s="28">
        <f>+AV23/AT23</f>
        <v>0.69772879091516371</v>
      </c>
      <c r="AV23" s="20">
        <v>71026</v>
      </c>
      <c r="AW23" s="5">
        <v>71.260000000000005</v>
      </c>
      <c r="AZ23" s="44">
        <f>+($N$14*49.9)*12</f>
        <v>101796</v>
      </c>
      <c r="BA23" s="28">
        <f>+BB23/AZ23</f>
        <v>1.8867047821132461</v>
      </c>
      <c r="BB23" s="20">
        <v>192059</v>
      </c>
      <c r="BC23" s="5">
        <v>192.59</v>
      </c>
      <c r="BE23" s="44">
        <f>+($N$14*49.9)*12</f>
        <v>101796</v>
      </c>
      <c r="BF23" s="28">
        <f>+BG23/BE23</f>
        <v>0.99296632480647573</v>
      </c>
      <c r="BG23" s="20">
        <v>101080</v>
      </c>
      <c r="BH23" s="5">
        <v>101.8</v>
      </c>
      <c r="BJ23" s="44">
        <f>+($N$14*49.9)*12</f>
        <v>101796</v>
      </c>
      <c r="BK23" s="28">
        <f>+BL23/BJ23</f>
        <v>1.8867047821132461</v>
      </c>
      <c r="BL23" s="20">
        <v>192059</v>
      </c>
      <c r="BM23" s="5">
        <v>192.59</v>
      </c>
      <c r="BO23" s="44">
        <f>+($N$14*49.9)*12</f>
        <v>101796</v>
      </c>
      <c r="BP23" s="28">
        <f>+BQ23/BO23</f>
        <v>0.88490706904004091</v>
      </c>
      <c r="BQ23" s="20">
        <v>90080</v>
      </c>
      <c r="BR23" s="5">
        <v>90.8</v>
      </c>
    </row>
    <row r="24" spans="1:70" x14ac:dyDescent="0.25">
      <c r="A24" s="35" t="s">
        <v>59</v>
      </c>
      <c r="B24" s="24">
        <v>1.2E-2</v>
      </c>
      <c r="C24" s="25">
        <v>10</v>
      </c>
      <c r="D24" s="25"/>
      <c r="E24" s="26"/>
      <c r="F24" s="25"/>
      <c r="G24" s="25">
        <f>C24*(1+$B$24)</f>
        <v>10.120000000000001</v>
      </c>
      <c r="H24" s="25">
        <f>G24*(1+$B$24)</f>
        <v>10.241440000000001</v>
      </c>
      <c r="I24" s="25">
        <f>H24*(1+$B$24)</f>
        <v>10.364337280000001</v>
      </c>
      <c r="J24" s="25">
        <f>I24*(1+$B$24)</f>
        <v>10.488709327360001</v>
      </c>
      <c r="L24" s="110" t="s">
        <v>216</v>
      </c>
    </row>
    <row r="25" spans="1:70" x14ac:dyDescent="0.25">
      <c r="A25" s="35" t="s">
        <v>180</v>
      </c>
      <c r="B25" s="24">
        <v>0.02</v>
      </c>
      <c r="C25" s="25"/>
      <c r="D25" s="36">
        <v>0.5</v>
      </c>
      <c r="E25" s="26"/>
      <c r="F25" s="25">
        <f>D25*(1+$B$25)</f>
        <v>0.51</v>
      </c>
      <c r="G25" s="25">
        <f t="shared" ref="G25:J25" si="12">E25*(1+$B$25)</f>
        <v>0</v>
      </c>
      <c r="H25" s="25">
        <f t="shared" si="12"/>
        <v>0.5202</v>
      </c>
      <c r="I25" s="25">
        <f t="shared" si="12"/>
        <v>0</v>
      </c>
      <c r="J25" s="25">
        <f t="shared" si="12"/>
        <v>0.53060399999999996</v>
      </c>
      <c r="L25" s="110" t="s">
        <v>217</v>
      </c>
      <c r="N25" s="220" t="s">
        <v>105</v>
      </c>
      <c r="O25" s="220"/>
      <c r="P25" s="229" t="s">
        <v>54</v>
      </c>
      <c r="Q25" s="230"/>
      <c r="R25" s="231"/>
      <c r="Z25" s="47" t="s">
        <v>83</v>
      </c>
      <c r="AA25" s="64">
        <f>+AA26/P27</f>
        <v>0.3147622053872054</v>
      </c>
      <c r="AB25" s="65" t="s">
        <v>196</v>
      </c>
      <c r="AE25" s="48" t="s">
        <v>83</v>
      </c>
      <c r="AF25" s="64">
        <f>+AF26/P27</f>
        <v>0.65561868686868685</v>
      </c>
      <c r="AN25" s="66"/>
      <c r="AS25" s="66"/>
      <c r="AX25" s="66"/>
    </row>
    <row r="26" spans="1:70" x14ac:dyDescent="0.25">
      <c r="A26" s="35" t="s">
        <v>194</v>
      </c>
      <c r="B26" s="24">
        <v>0.02</v>
      </c>
      <c r="C26" s="25">
        <v>3</v>
      </c>
      <c r="D26" s="25"/>
      <c r="E26" s="26"/>
      <c r="F26" s="25">
        <v>1.365</v>
      </c>
      <c r="G26" s="25">
        <f>C26*(1+$B$26)</f>
        <v>3.06</v>
      </c>
      <c r="H26" s="25">
        <f>G26*(1+$B$26)</f>
        <v>3.1212</v>
      </c>
      <c r="I26" s="25">
        <f>H26*(1+$B$26)</f>
        <v>3.183624</v>
      </c>
      <c r="J26" s="25">
        <f>I26*(1+$B$26)</f>
        <v>3.2472964800000002</v>
      </c>
      <c r="N26" s="19" t="s">
        <v>3</v>
      </c>
      <c r="O26" s="19" t="s">
        <v>60</v>
      </c>
      <c r="P26" s="19" t="s">
        <v>89</v>
      </c>
      <c r="Q26" s="19" t="s">
        <v>68</v>
      </c>
      <c r="R26" s="19" t="s">
        <v>62</v>
      </c>
      <c r="Z26" s="47" t="s">
        <v>108</v>
      </c>
      <c r="AA26" s="3">
        <v>5983</v>
      </c>
      <c r="AE26" s="48" t="s">
        <v>108</v>
      </c>
      <c r="AF26" s="3">
        <v>12462</v>
      </c>
      <c r="AJ26" s="48" t="s">
        <v>83</v>
      </c>
      <c r="AK26" s="64">
        <f>AA25</f>
        <v>0.3147622053872054</v>
      </c>
      <c r="AO26" s="61" t="s">
        <v>83</v>
      </c>
      <c r="AP26" s="64">
        <f>+AP27/P27</f>
        <v>0.83080808080808077</v>
      </c>
      <c r="AT26" s="61" t="s">
        <v>83</v>
      </c>
      <c r="AU26" s="64">
        <f>+AU27/P27</f>
        <v>0.65561868686868685</v>
      </c>
      <c r="AZ26" s="62" t="s">
        <v>83</v>
      </c>
      <c r="BA26" s="64">
        <f>+BA27/$P$27</f>
        <v>1.1783459595959596</v>
      </c>
      <c r="BE26" s="62" t="s">
        <v>83</v>
      </c>
      <c r="BF26" s="64">
        <f>+BF27/P27</f>
        <v>0.83080808080808077</v>
      </c>
      <c r="BJ26" s="63" t="s">
        <v>83</v>
      </c>
      <c r="BK26" s="64">
        <f>+BK27/$P$27</f>
        <v>1.0731271043771045</v>
      </c>
      <c r="BO26" s="63" t="s">
        <v>83</v>
      </c>
      <c r="BP26" s="64">
        <f>+BP27/P27</f>
        <v>0.83080808080808077</v>
      </c>
    </row>
    <row r="27" spans="1:70" ht="14.65" x14ac:dyDescent="0.4">
      <c r="A27" s="35" t="s">
        <v>176</v>
      </c>
      <c r="B27" s="24">
        <v>0.02</v>
      </c>
      <c r="C27" s="25"/>
      <c r="D27" s="67"/>
      <c r="E27" s="68"/>
      <c r="F27" s="69"/>
      <c r="G27" s="70">
        <v>10</v>
      </c>
      <c r="H27" s="70">
        <v>10</v>
      </c>
      <c r="I27" s="71">
        <v>10</v>
      </c>
      <c r="J27" s="70">
        <v>10</v>
      </c>
      <c r="N27" s="27">
        <v>8</v>
      </c>
      <c r="O27" s="72">
        <f>+($N$27*9*6)*4</f>
        <v>1728</v>
      </c>
      <c r="P27" s="3">
        <f>+$O$27*11</f>
        <v>19008</v>
      </c>
      <c r="Q27" s="73">
        <f>+R27/P27</f>
        <v>4.3139730639730637E-4</v>
      </c>
      <c r="R27" s="74">
        <v>8.1999999999999993</v>
      </c>
      <c r="AJ27" s="48" t="s">
        <v>108</v>
      </c>
      <c r="AK27" s="3">
        <v>5983</v>
      </c>
      <c r="AO27" s="61" t="s">
        <v>108</v>
      </c>
      <c r="AP27" s="3">
        <v>15792</v>
      </c>
      <c r="AT27" s="61" t="s">
        <v>108</v>
      </c>
      <c r="AU27" s="3">
        <v>12462</v>
      </c>
      <c r="AZ27" s="62" t="s">
        <v>108</v>
      </c>
      <c r="BA27" s="3">
        <v>22398</v>
      </c>
      <c r="BE27" s="62" t="s">
        <v>108</v>
      </c>
      <c r="BF27" s="3">
        <v>15792</v>
      </c>
      <c r="BJ27" s="63" t="s">
        <v>108</v>
      </c>
      <c r="BK27" s="3">
        <v>20398</v>
      </c>
      <c r="BO27" s="63" t="s">
        <v>108</v>
      </c>
      <c r="BP27" s="3">
        <v>15792</v>
      </c>
    </row>
    <row r="28" spans="1:70" ht="14.65" x14ac:dyDescent="0.4">
      <c r="A28" s="35" t="s">
        <v>42</v>
      </c>
      <c r="B28" s="27">
        <v>5</v>
      </c>
      <c r="C28" s="25"/>
      <c r="D28" s="75">
        <v>2.8</v>
      </c>
      <c r="E28" s="26"/>
      <c r="F28" s="25">
        <v>2.8</v>
      </c>
      <c r="G28" s="25">
        <f>F61/$B$28</f>
        <v>-0.55999999999999994</v>
      </c>
      <c r="H28" s="25">
        <f>G61/$B$28</f>
        <v>-0.44799999999999995</v>
      </c>
      <c r="I28" s="25">
        <f>H61/$B$28</f>
        <v>-0.35839999999999994</v>
      </c>
      <c r="J28" s="25">
        <f>I61/$B$28</f>
        <v>-0.28671999999999997</v>
      </c>
    </row>
    <row r="29" spans="1:70" ht="14.65" x14ac:dyDescent="0.4">
      <c r="A29" s="35" t="s">
        <v>43</v>
      </c>
      <c r="B29" s="27">
        <v>5</v>
      </c>
      <c r="C29" s="25"/>
      <c r="D29" s="75">
        <v>5.4</v>
      </c>
      <c r="E29" s="26"/>
      <c r="F29" s="25">
        <v>5.4</v>
      </c>
      <c r="G29" s="25">
        <v>2</v>
      </c>
      <c r="H29" s="25">
        <v>0.4</v>
      </c>
      <c r="I29" s="25"/>
      <c r="J29" s="25"/>
      <c r="P29" s="221" t="s">
        <v>168</v>
      </c>
      <c r="Q29" s="222"/>
    </row>
    <row r="30" spans="1:70" ht="14.65" x14ac:dyDescent="0.4">
      <c r="A30" s="35" t="s">
        <v>179</v>
      </c>
      <c r="B30" s="76">
        <f>+SUM(D15:D31)</f>
        <v>125.83999999999999</v>
      </c>
      <c r="C30" s="76"/>
      <c r="D30" s="25"/>
      <c r="E30" s="26"/>
      <c r="F30" s="69"/>
      <c r="G30" s="69"/>
      <c r="H30" s="69"/>
      <c r="I30" s="69"/>
      <c r="J30" s="69"/>
      <c r="P30" s="77"/>
      <c r="Q30" s="78"/>
    </row>
    <row r="31" spans="1:70" x14ac:dyDescent="0.25">
      <c r="A31" s="35" t="s">
        <v>208</v>
      </c>
      <c r="B31" s="76"/>
      <c r="C31" s="76"/>
      <c r="D31" s="25">
        <v>11</v>
      </c>
      <c r="E31" s="26"/>
      <c r="F31" s="25">
        <v>2.754</v>
      </c>
      <c r="G31" s="25">
        <v>2.754</v>
      </c>
      <c r="H31" s="25">
        <v>2.754</v>
      </c>
      <c r="I31" s="25">
        <v>2.754</v>
      </c>
      <c r="J31" s="25">
        <v>2.754</v>
      </c>
      <c r="P31" s="14" t="s">
        <v>91</v>
      </c>
      <c r="Q31" s="15">
        <v>1</v>
      </c>
    </row>
    <row r="32" spans="1:70" ht="14.65" x14ac:dyDescent="0.4">
      <c r="A32" s="79" t="s">
        <v>8</v>
      </c>
      <c r="B32" s="80"/>
      <c r="C32" s="80"/>
      <c r="D32" s="81">
        <f t="shared" ref="D32" si="13">+D14-SUM(D15:D31)</f>
        <v>-104.94</v>
      </c>
      <c r="E32" s="42"/>
      <c r="F32" s="80">
        <f>+F14-SUM(F15:F30)</f>
        <v>-33.052800000000019</v>
      </c>
      <c r="G32" s="80">
        <f t="shared" ref="G32:J32" si="14">+G14-SUM(G15:G30)</f>
        <v>8.1842939999999658</v>
      </c>
      <c r="H32" s="80">
        <f t="shared" si="14"/>
        <v>33.828009500000064</v>
      </c>
      <c r="I32" s="80">
        <f t="shared" si="14"/>
        <v>131.94246908500003</v>
      </c>
      <c r="J32" s="80">
        <f t="shared" si="14"/>
        <v>252.76544598619</v>
      </c>
      <c r="L32" s="82"/>
      <c r="P32" s="3" t="s">
        <v>90</v>
      </c>
      <c r="Q32" s="20">
        <v>15</v>
      </c>
      <c r="Z32" s="238" t="s">
        <v>104</v>
      </c>
      <c r="AA32" s="239"/>
      <c r="AB32" s="240"/>
      <c r="AE32" s="234" t="s">
        <v>111</v>
      </c>
      <c r="AF32" s="235"/>
      <c r="AG32" s="236"/>
    </row>
    <row r="33" spans="1:70" x14ac:dyDescent="0.25">
      <c r="A33" s="79" t="s">
        <v>18</v>
      </c>
      <c r="B33" s="18"/>
      <c r="C33" s="83"/>
      <c r="D33" s="83">
        <f t="shared" ref="D33:J33" si="15">D32/D14</f>
        <v>-5.0210526315789474</v>
      </c>
      <c r="E33" s="84"/>
      <c r="F33" s="83">
        <f t="shared" si="15"/>
        <v>-0.39839450370638241</v>
      </c>
      <c r="G33" s="83">
        <f t="shared" si="15"/>
        <v>5.6057864103604464E-2</v>
      </c>
      <c r="H33" s="83">
        <f t="shared" si="15"/>
        <v>0.15594103639103762</v>
      </c>
      <c r="I33" s="83">
        <f t="shared" si="15"/>
        <v>0.40529141965009136</v>
      </c>
      <c r="J33" s="83">
        <f t="shared" si="15"/>
        <v>0.53938926008516286</v>
      </c>
      <c r="P33" s="3" t="s">
        <v>92</v>
      </c>
      <c r="Q33" s="20">
        <f>+(Q32*P27)*Q31</f>
        <v>285120</v>
      </c>
      <c r="Z33" s="21" t="s">
        <v>61</v>
      </c>
      <c r="AA33" s="21" t="s">
        <v>68</v>
      </c>
      <c r="AB33" s="21" t="s">
        <v>62</v>
      </c>
      <c r="AE33" s="22" t="s">
        <v>61</v>
      </c>
      <c r="AF33" s="22" t="s">
        <v>68</v>
      </c>
      <c r="AG33" s="22" t="s">
        <v>62</v>
      </c>
      <c r="AJ33" s="234" t="s">
        <v>111</v>
      </c>
      <c r="AK33" s="235"/>
      <c r="AL33" s="236"/>
      <c r="AO33" s="246" t="s">
        <v>118</v>
      </c>
      <c r="AP33" s="247"/>
      <c r="AQ33" s="248"/>
      <c r="AT33" s="246" t="s">
        <v>118</v>
      </c>
      <c r="AU33" s="247"/>
      <c r="AV33" s="248"/>
      <c r="AZ33" s="251" t="s">
        <v>156</v>
      </c>
      <c r="BA33" s="252"/>
      <c r="BB33" s="253"/>
      <c r="BE33" s="251" t="s">
        <v>156</v>
      </c>
      <c r="BF33" s="252"/>
      <c r="BG33" s="253"/>
      <c r="BJ33" s="256" t="s">
        <v>162</v>
      </c>
      <c r="BK33" s="257"/>
      <c r="BL33" s="258"/>
      <c r="BO33" s="256" t="s">
        <v>162</v>
      </c>
      <c r="BP33" s="257"/>
      <c r="BQ33" s="258"/>
    </row>
    <row r="34" spans="1:70" ht="14.65" x14ac:dyDescent="0.4">
      <c r="A34" s="35" t="s">
        <v>9</v>
      </c>
      <c r="B34" s="3"/>
      <c r="C34" s="76"/>
      <c r="D34" s="76"/>
      <c r="E34" s="26"/>
      <c r="F34" s="76"/>
      <c r="G34" s="76"/>
      <c r="H34" s="76"/>
      <c r="I34" s="76"/>
      <c r="J34" s="76"/>
      <c r="Z34" s="3">
        <f>+$O$27*11</f>
        <v>19008</v>
      </c>
      <c r="AA34" s="28">
        <f>+AB34/Q33</f>
        <v>0.15979938271604938</v>
      </c>
      <c r="AB34" s="20">
        <v>45562</v>
      </c>
      <c r="AC34" s="5">
        <v>45.561999999999998</v>
      </c>
      <c r="AE34" s="3">
        <f>+$O$27*11</f>
        <v>19008</v>
      </c>
      <c r="AF34" s="28">
        <f>+AG34/Q33</f>
        <v>0.19992283950617284</v>
      </c>
      <c r="AG34" s="20">
        <v>57002</v>
      </c>
      <c r="AH34" s="5">
        <v>57.02</v>
      </c>
      <c r="AJ34" s="22" t="s">
        <v>61</v>
      </c>
      <c r="AK34" s="22" t="s">
        <v>68</v>
      </c>
      <c r="AL34" s="22" t="s">
        <v>62</v>
      </c>
      <c r="AO34" s="31" t="s">
        <v>61</v>
      </c>
      <c r="AP34" s="31" t="s">
        <v>68</v>
      </c>
      <c r="AQ34" s="31" t="s">
        <v>62</v>
      </c>
      <c r="AT34" s="31" t="s">
        <v>61</v>
      </c>
      <c r="AU34" s="31" t="s">
        <v>68</v>
      </c>
      <c r="AV34" s="31" t="s">
        <v>62</v>
      </c>
      <c r="AZ34" s="32" t="s">
        <v>61</v>
      </c>
      <c r="BA34" s="32" t="s">
        <v>68</v>
      </c>
      <c r="BB34" s="32" t="s">
        <v>62</v>
      </c>
      <c r="BE34" s="32" t="s">
        <v>61</v>
      </c>
      <c r="BF34" s="32" t="s">
        <v>68</v>
      </c>
      <c r="BG34" s="32" t="s">
        <v>62</v>
      </c>
      <c r="BJ34" s="33" t="s">
        <v>61</v>
      </c>
      <c r="BK34" s="33" t="s">
        <v>68</v>
      </c>
      <c r="BL34" s="33" t="s">
        <v>62</v>
      </c>
      <c r="BO34" s="33" t="s">
        <v>61</v>
      </c>
      <c r="BP34" s="33" t="s">
        <v>68</v>
      </c>
      <c r="BQ34" s="33" t="s">
        <v>62</v>
      </c>
    </row>
    <row r="35" spans="1:70" x14ac:dyDescent="0.25">
      <c r="A35" s="35" t="s">
        <v>183</v>
      </c>
      <c r="B35" s="3"/>
      <c r="C35" s="76"/>
      <c r="D35" s="76">
        <v>-0.3</v>
      </c>
      <c r="E35" s="26"/>
      <c r="F35" s="75">
        <f>-10-7</f>
        <v>-17</v>
      </c>
      <c r="G35" s="76">
        <f>-8.3-6</f>
        <v>-14.3</v>
      </c>
      <c r="H35" s="76">
        <f>-6-5.1</f>
        <v>-11.1</v>
      </c>
      <c r="I35" s="76">
        <f>-3.3-3.8</f>
        <v>-7.1</v>
      </c>
      <c r="J35" s="76">
        <v>-2.4</v>
      </c>
      <c r="AJ35" s="3">
        <f>+$O$27*11</f>
        <v>19008</v>
      </c>
      <c r="AK35" s="28">
        <f>+AL35/Q33</f>
        <v>0.12630471380471381</v>
      </c>
      <c r="AL35" s="20">
        <v>36012</v>
      </c>
      <c r="AM35" s="5">
        <v>36.119999999999997</v>
      </c>
      <c r="AO35" s="3">
        <f>+$O$27*11</f>
        <v>19008</v>
      </c>
      <c r="AP35" s="28">
        <f>+AQ35/Q33</f>
        <v>0.53312991021324352</v>
      </c>
      <c r="AQ35" s="20">
        <v>152006</v>
      </c>
      <c r="AR35" s="5">
        <v>152.06</v>
      </c>
      <c r="AT35" s="3">
        <f>+$O$27*11</f>
        <v>19008</v>
      </c>
      <c r="AU35" s="28">
        <f>+AV35/Q33</f>
        <v>0.19992283950617284</v>
      </c>
      <c r="AV35" s="20">
        <v>57002</v>
      </c>
      <c r="AW35" s="5">
        <v>57.02</v>
      </c>
      <c r="AZ35" s="3">
        <f>+$O$27*11</f>
        <v>19008</v>
      </c>
      <c r="BA35" s="28">
        <f>+BB35/Q33</f>
        <v>0.53312991021324352</v>
      </c>
      <c r="BB35" s="20">
        <v>152006</v>
      </c>
      <c r="BC35" s="5">
        <v>152.06</v>
      </c>
      <c r="BE35" s="3">
        <f>+$O$27*11</f>
        <v>19008</v>
      </c>
      <c r="BF35" s="28">
        <f>+BG35/Q33</f>
        <v>0.53312991021324352</v>
      </c>
      <c r="BG35" s="20">
        <v>152006</v>
      </c>
      <c r="BH35" s="5">
        <v>152.06</v>
      </c>
      <c r="BJ35" s="3">
        <f>+$O$27*11</f>
        <v>19008</v>
      </c>
      <c r="BK35" s="28">
        <f>+BL35/Q33</f>
        <v>0.53312991021324352</v>
      </c>
      <c r="BL35" s="20">
        <v>152006</v>
      </c>
      <c r="BM35" s="5">
        <v>152.06</v>
      </c>
      <c r="BO35" s="3">
        <f>+$O$27*11</f>
        <v>19008</v>
      </c>
      <c r="BP35" s="28">
        <f>+BQ35/Q33</f>
        <v>0.53312991021324352</v>
      </c>
      <c r="BQ35" s="20">
        <v>152006</v>
      </c>
      <c r="BR35" s="5">
        <v>152.06</v>
      </c>
    </row>
    <row r="36" spans="1:70" ht="14.65" x14ac:dyDescent="0.4">
      <c r="A36" s="35" t="s">
        <v>10</v>
      </c>
      <c r="B36" s="24">
        <v>0.25</v>
      </c>
      <c r="C36" s="76"/>
      <c r="D36" s="76">
        <v>0</v>
      </c>
      <c r="E36" s="26"/>
      <c r="F36" s="76">
        <v>0</v>
      </c>
      <c r="G36" s="76">
        <v>0</v>
      </c>
      <c r="H36" s="76">
        <v>0</v>
      </c>
      <c r="I36" s="76">
        <f>-(I32+I34+I35)*$B$36</f>
        <v>-31.210617271250008</v>
      </c>
      <c r="J36" s="76">
        <f>-(J32+J34+J35)*$B$36</f>
        <v>-62.591361496547499</v>
      </c>
      <c r="AB36" s="85">
        <f>AB34+AB22+AB16+AB10+AB6</f>
        <v>87260</v>
      </c>
    </row>
    <row r="37" spans="1:70" x14ac:dyDescent="0.25">
      <c r="A37" s="79" t="s">
        <v>11</v>
      </c>
      <c r="B37" s="79"/>
      <c r="C37" s="86"/>
      <c r="D37" s="86">
        <f>D32+SUM(D34:D36)</f>
        <v>-105.24</v>
      </c>
      <c r="E37" s="26"/>
      <c r="F37" s="86">
        <f t="shared" ref="F37:J37" si="16">F32+SUM(F34:F36)</f>
        <v>-50.052800000000019</v>
      </c>
      <c r="G37" s="86">
        <f t="shared" si="16"/>
        <v>-6.1157060000000349</v>
      </c>
      <c r="H37" s="86">
        <f t="shared" si="16"/>
        <v>22.728009500000063</v>
      </c>
      <c r="I37" s="86">
        <f t="shared" si="16"/>
        <v>93.631851813750018</v>
      </c>
      <c r="J37" s="86">
        <f t="shared" si="16"/>
        <v>187.77408448964252</v>
      </c>
      <c r="L37" s="87" t="s">
        <v>19</v>
      </c>
      <c r="M37" s="87"/>
    </row>
    <row r="38" spans="1:70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L38" s="3" t="s">
        <v>47</v>
      </c>
      <c r="M38" s="3">
        <v>149.4</v>
      </c>
      <c r="Z38" s="89" t="s">
        <v>198</v>
      </c>
      <c r="AA38" s="90"/>
      <c r="AB38" s="90"/>
    </row>
    <row r="39" spans="1:70" x14ac:dyDescent="0.25">
      <c r="A39" s="18" t="s">
        <v>50</v>
      </c>
      <c r="B39" s="3"/>
      <c r="C39" s="3"/>
      <c r="D39" s="7" t="s">
        <v>54</v>
      </c>
      <c r="E39" s="8"/>
      <c r="F39" s="9" t="s">
        <v>55</v>
      </c>
      <c r="G39" s="10" t="s">
        <v>56</v>
      </c>
      <c r="H39" s="11" t="s">
        <v>57</v>
      </c>
      <c r="I39" s="12" t="s">
        <v>58</v>
      </c>
      <c r="J39" s="13" t="s">
        <v>103</v>
      </c>
      <c r="L39" s="3" t="s">
        <v>48</v>
      </c>
      <c r="M39" s="3">
        <v>0</v>
      </c>
      <c r="P39" s="221" t="s">
        <v>85</v>
      </c>
      <c r="Q39" s="222"/>
      <c r="Z39" s="90" t="s">
        <v>199</v>
      </c>
      <c r="AA39" s="90">
        <v>5263</v>
      </c>
      <c r="AB39" s="90"/>
    </row>
    <row r="40" spans="1:70" x14ac:dyDescent="0.25">
      <c r="A40" s="27" t="s">
        <v>12</v>
      </c>
      <c r="B40" s="76"/>
      <c r="C40" s="76"/>
      <c r="D40" s="76">
        <f t="shared" ref="D40:J40" si="17">+D37+D28+D29</f>
        <v>-97.039999999999992</v>
      </c>
      <c r="E40" s="26"/>
      <c r="F40" s="76">
        <f t="shared" si="17"/>
        <v>-41.852800000000023</v>
      </c>
      <c r="G40" s="76">
        <f t="shared" si="17"/>
        <v>-4.6757060000000346</v>
      </c>
      <c r="H40" s="76">
        <f t="shared" si="17"/>
        <v>22.680009500000061</v>
      </c>
      <c r="I40" s="76">
        <f t="shared" si="17"/>
        <v>93.273451813750015</v>
      </c>
      <c r="J40" s="76">
        <f t="shared" si="17"/>
        <v>187.48736448964252</v>
      </c>
      <c r="L40" s="3" t="s">
        <v>49</v>
      </c>
      <c r="M40" s="3">
        <f>+M38+M39</f>
        <v>149.4</v>
      </c>
      <c r="P40" s="221" t="s">
        <v>200</v>
      </c>
      <c r="Q40" s="222"/>
      <c r="Z40" s="90" t="s">
        <v>205</v>
      </c>
      <c r="AA40" s="90">
        <v>50130</v>
      </c>
      <c r="AB40" s="90"/>
    </row>
    <row r="41" spans="1:70" x14ac:dyDescent="0.25">
      <c r="A41" s="35" t="s">
        <v>17</v>
      </c>
      <c r="B41" s="91"/>
      <c r="C41" s="76"/>
      <c r="D41" s="75">
        <v>93.9</v>
      </c>
      <c r="E41" s="26"/>
      <c r="F41" s="75">
        <v>55.53</v>
      </c>
      <c r="G41" s="75">
        <v>-20</v>
      </c>
      <c r="H41" s="76">
        <v>-50</v>
      </c>
      <c r="I41" s="76">
        <v>-50</v>
      </c>
      <c r="J41" s="76">
        <v>-50</v>
      </c>
      <c r="P41" s="221" t="s">
        <v>86</v>
      </c>
      <c r="Q41" s="222"/>
      <c r="Z41" s="90" t="s">
        <v>201</v>
      </c>
      <c r="AA41" s="92" t="s">
        <v>203</v>
      </c>
      <c r="AB41" s="90" t="s">
        <v>204</v>
      </c>
    </row>
    <row r="42" spans="1:70" ht="15" customHeight="1" x14ac:dyDescent="0.25">
      <c r="A42" s="35" t="s">
        <v>13</v>
      </c>
      <c r="B42" s="75"/>
      <c r="C42" s="76"/>
      <c r="D42" s="25">
        <v>10</v>
      </c>
      <c r="E42" s="26"/>
      <c r="F42" s="76"/>
      <c r="G42" s="76"/>
      <c r="H42" s="76"/>
      <c r="I42" s="76"/>
      <c r="J42" s="76"/>
      <c r="L42" s="93" t="s">
        <v>46</v>
      </c>
      <c r="M42" s="94"/>
      <c r="P42" s="221" t="s">
        <v>195</v>
      </c>
      <c r="Q42" s="222"/>
      <c r="Z42" s="90" t="s">
        <v>202</v>
      </c>
      <c r="AA42" s="92">
        <v>0.97</v>
      </c>
      <c r="AB42" s="90"/>
    </row>
    <row r="43" spans="1:70" x14ac:dyDescent="0.25">
      <c r="A43" s="35" t="s">
        <v>14</v>
      </c>
      <c r="B43" s="76">
        <v>62.7</v>
      </c>
      <c r="C43" s="76"/>
      <c r="D43" s="25">
        <v>52.6</v>
      </c>
      <c r="E43" s="26"/>
      <c r="F43" s="25">
        <f>-18.2</f>
        <v>-18.2</v>
      </c>
      <c r="G43" s="25">
        <f>-7.3-4</f>
        <v>-11.3</v>
      </c>
      <c r="H43" s="25">
        <f>-7.5-4.5</f>
        <v>-12</v>
      </c>
      <c r="I43" s="25">
        <f>-7.6-4.7</f>
        <v>-12.3</v>
      </c>
      <c r="J43" s="25">
        <f>-7.8-4.8</f>
        <v>-12.6</v>
      </c>
      <c r="L43" s="3" t="s">
        <v>44</v>
      </c>
      <c r="M43" s="3">
        <v>10</v>
      </c>
      <c r="P43" s="223" t="s">
        <v>87</v>
      </c>
      <c r="Q43" s="223"/>
    </row>
    <row r="44" spans="1:70" x14ac:dyDescent="0.25">
      <c r="A44" s="35" t="s">
        <v>15</v>
      </c>
      <c r="B44" s="76"/>
      <c r="C44" s="76"/>
      <c r="D44" s="25">
        <f>+D78</f>
        <v>6.4</v>
      </c>
      <c r="E44" s="26"/>
      <c r="F44" s="25">
        <f>+F78</f>
        <v>7.5315352054794502</v>
      </c>
      <c r="G44" s="25">
        <f>+G78</f>
        <v>0.94879081826484679</v>
      </c>
      <c r="H44" s="25">
        <f>+H78</f>
        <v>1.9693429835616403</v>
      </c>
      <c r="I44" s="25">
        <f>+I78</f>
        <v>-3.354993127223743</v>
      </c>
      <c r="J44" s="25">
        <f>+J78</f>
        <v>-7.6099683856928779</v>
      </c>
      <c r="L44" s="3" t="s">
        <v>45</v>
      </c>
      <c r="M44" s="3">
        <v>0</v>
      </c>
      <c r="P44" s="223" t="s">
        <v>88</v>
      </c>
      <c r="Q44" s="223"/>
    </row>
    <row r="45" spans="1:70" x14ac:dyDescent="0.25">
      <c r="A45" s="35" t="s">
        <v>25</v>
      </c>
      <c r="B45" s="76"/>
      <c r="C45" s="76"/>
      <c r="D45" s="25">
        <v>-2.8</v>
      </c>
      <c r="E45" s="26"/>
      <c r="F45" s="76"/>
      <c r="G45" s="76"/>
      <c r="H45" s="76"/>
      <c r="I45" s="76"/>
      <c r="J45" s="76"/>
      <c r="L45" s="3" t="s">
        <v>49</v>
      </c>
      <c r="M45" s="3">
        <f>+M43+M44</f>
        <v>10</v>
      </c>
    </row>
    <row r="46" spans="1:70" x14ac:dyDescent="0.25">
      <c r="A46" s="35" t="s">
        <v>27</v>
      </c>
      <c r="B46" s="76"/>
      <c r="C46" s="25"/>
      <c r="D46" s="25">
        <v>-44.3</v>
      </c>
      <c r="E46" s="26"/>
      <c r="F46" s="76"/>
      <c r="G46" s="75">
        <v>-50</v>
      </c>
      <c r="H46" s="76"/>
      <c r="I46" s="76"/>
      <c r="J46" s="76"/>
      <c r="O46" s="220" t="s">
        <v>66</v>
      </c>
      <c r="P46" s="220"/>
      <c r="Q46" s="220"/>
      <c r="R46" s="220" t="s">
        <v>54</v>
      </c>
      <c r="S46" s="220"/>
      <c r="T46" s="220"/>
    </row>
    <row r="47" spans="1:70" x14ac:dyDescent="0.25">
      <c r="A47" s="35" t="s">
        <v>32</v>
      </c>
      <c r="B47" s="76"/>
      <c r="C47" s="76"/>
      <c r="D47" s="25">
        <v>-8</v>
      </c>
      <c r="E47" s="26"/>
      <c r="F47" s="76"/>
      <c r="G47" s="75">
        <v>-10</v>
      </c>
      <c r="H47" s="76"/>
      <c r="I47" s="76"/>
      <c r="J47" s="76"/>
      <c r="O47" s="19" t="s">
        <v>70</v>
      </c>
      <c r="P47" s="19" t="s">
        <v>67</v>
      </c>
      <c r="Q47" s="19" t="s">
        <v>2</v>
      </c>
      <c r="R47" s="19" t="s">
        <v>71</v>
      </c>
      <c r="S47" s="19" t="s">
        <v>72</v>
      </c>
      <c r="T47" s="95" t="s">
        <v>62</v>
      </c>
    </row>
    <row r="48" spans="1:70" x14ac:dyDescent="0.25">
      <c r="A48" s="35" t="s">
        <v>30</v>
      </c>
      <c r="B48" s="76"/>
      <c r="C48" s="76"/>
      <c r="D48" s="25">
        <v>-3.1</v>
      </c>
      <c r="E48" s="26"/>
      <c r="F48" s="76"/>
      <c r="G48" s="75">
        <v>-5</v>
      </c>
      <c r="H48" s="76"/>
      <c r="I48" s="76"/>
      <c r="J48" s="76"/>
      <c r="O48" s="96">
        <v>15</v>
      </c>
      <c r="P48" s="97">
        <f>+O48*3*11</f>
        <v>495</v>
      </c>
      <c r="Q48" s="96">
        <v>70</v>
      </c>
      <c r="R48" s="59">
        <f>+$P$48*$Q$48</f>
        <v>34650</v>
      </c>
      <c r="S48" s="98">
        <f>+T48/R48</f>
        <v>0.21650793650793651</v>
      </c>
      <c r="T48" s="20">
        <v>7502</v>
      </c>
      <c r="U48" s="3">
        <v>7.5</v>
      </c>
      <c r="Y48" s="52"/>
    </row>
    <row r="49" spans="1:49" x14ac:dyDescent="0.25">
      <c r="A49" s="99" t="s">
        <v>23</v>
      </c>
      <c r="B49" s="3"/>
      <c r="C49" s="3"/>
      <c r="D49" s="3"/>
      <c r="E49" s="100"/>
      <c r="F49" s="3"/>
      <c r="G49" s="3"/>
      <c r="H49" s="3"/>
      <c r="I49" s="3"/>
      <c r="J49" s="3"/>
    </row>
    <row r="50" spans="1:49" x14ac:dyDescent="0.25">
      <c r="A50" s="10" t="s">
        <v>16</v>
      </c>
      <c r="B50" s="101"/>
      <c r="C50" s="101"/>
      <c r="D50" s="101">
        <f>SUM(D40:D48)</f>
        <v>7.6600000000000197</v>
      </c>
      <c r="E50" s="100"/>
      <c r="F50" s="101">
        <f>D50+SUM(F40:F48)</f>
        <v>10.668735205479448</v>
      </c>
      <c r="G50" s="101">
        <f t="shared" ref="G50:J50" si="18">F50+SUM(G40:G48)</f>
        <v>-89.358179976255727</v>
      </c>
      <c r="H50" s="101">
        <f t="shared" si="18"/>
        <v>-126.70882749269403</v>
      </c>
      <c r="I50" s="101">
        <f t="shared" si="18"/>
        <v>-99.09036880616776</v>
      </c>
      <c r="J50" s="101">
        <f t="shared" si="18"/>
        <v>18.187027297781881</v>
      </c>
      <c r="O50" s="220" t="s">
        <v>171</v>
      </c>
      <c r="P50" s="220"/>
    </row>
    <row r="51" spans="1:49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O51" s="259" t="s">
        <v>207</v>
      </c>
      <c r="P51" s="260"/>
    </row>
    <row r="52" spans="1:49" x14ac:dyDescent="0.25">
      <c r="A52" s="18" t="s">
        <v>34</v>
      </c>
      <c r="B52" s="3"/>
      <c r="C52" s="3"/>
      <c r="D52" s="7" t="s">
        <v>54</v>
      </c>
      <c r="E52" s="8"/>
      <c r="F52" s="9" t="s">
        <v>55</v>
      </c>
      <c r="G52" s="10" t="s">
        <v>56</v>
      </c>
      <c r="H52" s="11" t="s">
        <v>57</v>
      </c>
      <c r="I52" s="12" t="s">
        <v>58</v>
      </c>
      <c r="J52" s="13" t="s">
        <v>103</v>
      </c>
      <c r="O52" s="261"/>
      <c r="P52" s="262"/>
    </row>
    <row r="53" spans="1:49" x14ac:dyDescent="0.25">
      <c r="A53" s="3" t="s">
        <v>53</v>
      </c>
      <c r="B53" s="76"/>
      <c r="C53" s="76"/>
      <c r="D53" s="76">
        <f>C53+D37+D42</f>
        <v>-95.24</v>
      </c>
      <c r="E53" s="26"/>
      <c r="F53" s="75">
        <f>D53+F37+F42</f>
        <v>-145.2928</v>
      </c>
      <c r="G53" s="76">
        <f>F53+G37+G42</f>
        <v>-151.40850600000005</v>
      </c>
      <c r="H53" s="76">
        <f>G53+H37+H42</f>
        <v>-128.68049649999998</v>
      </c>
      <c r="I53" s="76">
        <f>H53+I37+I42</f>
        <v>-35.048644686249958</v>
      </c>
      <c r="J53" s="76">
        <f>I53+J37+J42</f>
        <v>152.72543980339256</v>
      </c>
      <c r="O53" s="263"/>
      <c r="P53" s="264"/>
    </row>
    <row r="54" spans="1:49" x14ac:dyDescent="0.25">
      <c r="A54" s="3" t="s">
        <v>19</v>
      </c>
      <c r="B54" s="76"/>
      <c r="C54" s="76"/>
      <c r="D54" s="76">
        <f>+C54+D41</f>
        <v>93.9</v>
      </c>
      <c r="E54" s="26"/>
      <c r="F54" s="76">
        <f>+D54+F41</f>
        <v>149.43</v>
      </c>
      <c r="G54" s="76">
        <f>+F54+G41</f>
        <v>129.43</v>
      </c>
      <c r="H54" s="76">
        <f>+G54+H41</f>
        <v>79.430000000000007</v>
      </c>
      <c r="I54" s="76">
        <f>+H54+I41</f>
        <v>29.430000000000007</v>
      </c>
      <c r="J54" s="76">
        <f>+I54+J41</f>
        <v>-20.569999999999993</v>
      </c>
    </row>
    <row r="55" spans="1:49" x14ac:dyDescent="0.25">
      <c r="A55" s="3" t="s">
        <v>20</v>
      </c>
      <c r="B55" s="76"/>
      <c r="C55" s="76"/>
      <c r="D55" s="76">
        <f>C43+D43</f>
        <v>52.6</v>
      </c>
      <c r="E55" s="26"/>
      <c r="F55" s="76">
        <f>+D55+F43</f>
        <v>34.400000000000006</v>
      </c>
      <c r="G55" s="76">
        <f>+F55+G43</f>
        <v>23.100000000000005</v>
      </c>
      <c r="H55" s="76">
        <f>+G55+H43</f>
        <v>11.100000000000005</v>
      </c>
      <c r="I55" s="76">
        <f>+H55+I43</f>
        <v>-1.1999999999999957</v>
      </c>
      <c r="J55" s="76">
        <f>+I55+J43</f>
        <v>-13.799999999999995</v>
      </c>
    </row>
    <row r="56" spans="1:49" x14ac:dyDescent="0.25">
      <c r="A56" s="3" t="s">
        <v>21</v>
      </c>
      <c r="B56" s="76"/>
      <c r="C56" s="76"/>
      <c r="D56" s="76">
        <f>+D75</f>
        <v>3</v>
      </c>
      <c r="E56" s="26"/>
      <c r="F56" s="76">
        <f t="shared" ref="F56:J57" si="19">+F75</f>
        <v>15.649209863013699</v>
      </c>
      <c r="G56" s="76">
        <f t="shared" si="19"/>
        <v>19.996857073972606</v>
      </c>
      <c r="H56" s="76">
        <f t="shared" si="19"/>
        <v>22.714165084931508</v>
      </c>
      <c r="I56" s="76">
        <f t="shared" si="19"/>
        <v>24.61917786213699</v>
      </c>
      <c r="J56" s="76">
        <f t="shared" si="19"/>
        <v>23.96584697927014</v>
      </c>
    </row>
    <row r="57" spans="1:49" x14ac:dyDescent="0.25">
      <c r="A57" s="35" t="s">
        <v>22</v>
      </c>
      <c r="B57" s="76"/>
      <c r="C57" s="76"/>
      <c r="D57" s="76">
        <f>+D76</f>
        <v>3.4</v>
      </c>
      <c r="E57" s="26"/>
      <c r="F57" s="76">
        <f t="shared" si="19"/>
        <v>2.3737499999999998</v>
      </c>
      <c r="G57" s="76">
        <f t="shared" si="19"/>
        <v>2.0833333333333335</v>
      </c>
      <c r="H57" s="76">
        <f t="shared" si="19"/>
        <v>4.833333333333333</v>
      </c>
      <c r="I57" s="76">
        <f t="shared" si="19"/>
        <v>4.93</v>
      </c>
      <c r="J57" s="76">
        <f t="shared" si="19"/>
        <v>5.0286</v>
      </c>
      <c r="O57" s="220" t="s">
        <v>172</v>
      </c>
      <c r="P57" s="220"/>
    </row>
    <row r="58" spans="1:49" x14ac:dyDescent="0.25">
      <c r="A58" s="35" t="s">
        <v>23</v>
      </c>
      <c r="B58" s="76"/>
      <c r="C58" s="76"/>
      <c r="D58" s="76">
        <v>0</v>
      </c>
      <c r="E58" s="26"/>
      <c r="F58" s="76"/>
      <c r="G58" s="76"/>
      <c r="H58" s="76"/>
      <c r="I58" s="76"/>
      <c r="J58" s="76"/>
      <c r="O58" s="259" t="s">
        <v>178</v>
      </c>
      <c r="P58" s="260"/>
    </row>
    <row r="59" spans="1:49" x14ac:dyDescent="0.25">
      <c r="A59" s="35" t="s">
        <v>24</v>
      </c>
      <c r="B59" s="76"/>
      <c r="C59" s="76"/>
      <c r="D59" s="76">
        <f>+SUM(D53:D58)</f>
        <v>57.660000000000011</v>
      </c>
      <c r="E59" s="26"/>
      <c r="F59" s="76">
        <f t="shared" ref="F59" si="20">+SUM(F53:F58)</f>
        <v>56.560159863013709</v>
      </c>
      <c r="G59" s="76">
        <f t="shared" ref="G59:J59" si="21">+SUM(G53:G58)</f>
        <v>23.201684407305905</v>
      </c>
      <c r="H59" s="76">
        <f t="shared" si="21"/>
        <v>-10.602998081735119</v>
      </c>
      <c r="I59" s="76">
        <f t="shared" si="21"/>
        <v>22.730533175887043</v>
      </c>
      <c r="J59" s="76">
        <f t="shared" si="21"/>
        <v>147.34988678266271</v>
      </c>
      <c r="O59" s="261"/>
      <c r="P59" s="262"/>
    </row>
    <row r="60" spans="1:49" ht="15.75" thickBot="1" x14ac:dyDescent="0.3">
      <c r="B60" s="102"/>
      <c r="C60" s="102"/>
      <c r="D60" s="102"/>
      <c r="E60" s="26"/>
      <c r="F60" s="102"/>
      <c r="G60" s="102"/>
      <c r="H60" s="102"/>
      <c r="I60" s="102"/>
      <c r="J60" s="102"/>
      <c r="O60" s="263"/>
      <c r="P60" s="264"/>
    </row>
    <row r="61" spans="1:49" ht="15.75" thickBot="1" x14ac:dyDescent="0.3">
      <c r="A61" s="3" t="s">
        <v>25</v>
      </c>
      <c r="B61" s="76"/>
      <c r="C61" s="76"/>
      <c r="D61" s="76">
        <f>C61-D45-D28</f>
        <v>0</v>
      </c>
      <c r="E61" s="26"/>
      <c r="F61" s="76">
        <f>D61-F45-F28</f>
        <v>-2.8</v>
      </c>
      <c r="G61" s="76">
        <f t="shared" ref="G61:J62" si="22">F61-G45-G28</f>
        <v>-2.2399999999999998</v>
      </c>
      <c r="H61" s="76">
        <f t="shared" si="22"/>
        <v>-1.7919999999999998</v>
      </c>
      <c r="I61" s="76">
        <f t="shared" si="22"/>
        <v>-1.4335999999999998</v>
      </c>
      <c r="J61" s="76">
        <f t="shared" si="22"/>
        <v>-1.1468799999999999</v>
      </c>
      <c r="AS61" s="103">
        <v>17.07</v>
      </c>
      <c r="AT61" s="104" t="s">
        <v>119</v>
      </c>
      <c r="AU61" s="104">
        <v>645</v>
      </c>
    </row>
    <row r="62" spans="1:49" ht="15.75" thickBot="1" x14ac:dyDescent="0.3">
      <c r="A62" s="3" t="s">
        <v>27</v>
      </c>
      <c r="B62" s="76"/>
      <c r="C62" s="76"/>
      <c r="D62" s="76">
        <f>C62-D46-D29</f>
        <v>38.9</v>
      </c>
      <c r="E62" s="26"/>
      <c r="F62" s="76">
        <f>D62-F46-F29</f>
        <v>33.5</v>
      </c>
      <c r="G62" s="76">
        <f t="shared" si="22"/>
        <v>81.5</v>
      </c>
      <c r="H62" s="76">
        <f t="shared" si="22"/>
        <v>81.099999999999994</v>
      </c>
      <c r="I62" s="76">
        <f t="shared" si="22"/>
        <v>81.099999999999994</v>
      </c>
      <c r="J62" s="76">
        <f t="shared" si="22"/>
        <v>81.099999999999994</v>
      </c>
      <c r="O62" s="220" t="s">
        <v>176</v>
      </c>
      <c r="P62" s="220"/>
      <c r="AS62" s="105">
        <v>17.079999999999998</v>
      </c>
      <c r="AT62" s="106" t="s">
        <v>120</v>
      </c>
      <c r="AU62" s="106">
        <v>716</v>
      </c>
    </row>
    <row r="63" spans="1:49" ht="15.75" thickBot="1" x14ac:dyDescent="0.3">
      <c r="A63" s="3" t="s">
        <v>26</v>
      </c>
      <c r="B63" s="76"/>
      <c r="C63" s="76"/>
      <c r="D63" s="76">
        <f>C63-D47</f>
        <v>8</v>
      </c>
      <c r="E63" s="26"/>
      <c r="F63" s="76">
        <f>D63-F47</f>
        <v>8</v>
      </c>
      <c r="G63" s="76">
        <f>F63-G47</f>
        <v>18</v>
      </c>
      <c r="H63" s="76">
        <f>G63-H47</f>
        <v>18</v>
      </c>
      <c r="I63" s="76">
        <f>H63-I47</f>
        <v>18</v>
      </c>
      <c r="J63" s="76">
        <f>I63-J47</f>
        <v>18</v>
      </c>
      <c r="O63" s="259" t="s">
        <v>177</v>
      </c>
      <c r="P63" s="260"/>
      <c r="AS63" s="105">
        <v>17.09</v>
      </c>
      <c r="AT63" s="106" t="s">
        <v>121</v>
      </c>
      <c r="AU63" s="106">
        <v>795</v>
      </c>
      <c r="AV63" s="106">
        <v>795</v>
      </c>
      <c r="AW63" s="106" t="s">
        <v>127</v>
      </c>
    </row>
    <row r="64" spans="1:49" ht="15.75" thickBot="1" x14ac:dyDescent="0.3">
      <c r="A64" s="3" t="s">
        <v>28</v>
      </c>
      <c r="B64" s="76"/>
      <c r="C64" s="76"/>
      <c r="D64" s="76">
        <v>0</v>
      </c>
      <c r="E64" s="26"/>
      <c r="F64" s="76"/>
      <c r="G64" s="76"/>
      <c r="H64" s="76"/>
      <c r="I64" s="76"/>
      <c r="J64" s="76"/>
      <c r="O64" s="261"/>
      <c r="P64" s="262"/>
      <c r="AS64" s="105">
        <v>17.100000000000001</v>
      </c>
      <c r="AT64" s="106" t="s">
        <v>122</v>
      </c>
      <c r="AU64" s="106">
        <v>882</v>
      </c>
      <c r="AV64" s="106">
        <v>882</v>
      </c>
      <c r="AW64" s="106" t="s">
        <v>129</v>
      </c>
    </row>
    <row r="65" spans="1:49" ht="15.75" thickBot="1" x14ac:dyDescent="0.3">
      <c r="A65" s="3" t="s">
        <v>29</v>
      </c>
      <c r="B65" s="76"/>
      <c r="C65" s="76"/>
      <c r="D65" s="76">
        <v>0</v>
      </c>
      <c r="E65" s="26"/>
      <c r="F65" s="76">
        <f>+F74</f>
        <v>4.0914246575342466</v>
      </c>
      <c r="G65" s="76">
        <f>+G74</f>
        <v>7.1998643835616418</v>
      </c>
      <c r="H65" s="76">
        <f>+H74</f>
        <v>10.697829410958905</v>
      </c>
      <c r="I65" s="76">
        <f>+I74</f>
        <v>16.054501982054795</v>
      </c>
      <c r="J65" s="76">
        <f>+J74</f>
        <v>23.109739484880823</v>
      </c>
      <c r="O65" s="263"/>
      <c r="P65" s="264"/>
      <c r="AS65" s="105">
        <v>17.11</v>
      </c>
      <c r="AT65" s="106" t="s">
        <v>123</v>
      </c>
      <c r="AU65" s="106">
        <v>979</v>
      </c>
      <c r="AV65" s="106">
        <v>979</v>
      </c>
      <c r="AW65" s="106" t="s">
        <v>131</v>
      </c>
    </row>
    <row r="66" spans="1:49" ht="15.75" thickBot="1" x14ac:dyDescent="0.3">
      <c r="A66" s="3" t="s">
        <v>30</v>
      </c>
      <c r="B66" s="76"/>
      <c r="C66" s="76"/>
      <c r="D66" s="76">
        <f>C66-D48</f>
        <v>3.1</v>
      </c>
      <c r="E66" s="26"/>
      <c r="F66" s="76">
        <f>D66-F48</f>
        <v>3.1</v>
      </c>
      <c r="G66" s="76">
        <f>F66-G48</f>
        <v>8.1</v>
      </c>
      <c r="H66" s="76">
        <f>G66-H48</f>
        <v>8.1</v>
      </c>
      <c r="I66" s="76">
        <f>H66-I48</f>
        <v>8.1</v>
      </c>
      <c r="J66" s="76">
        <f>I66-J48</f>
        <v>8.1</v>
      </c>
      <c r="AS66" s="105">
        <v>17.12</v>
      </c>
      <c r="AT66" s="106" t="s">
        <v>124</v>
      </c>
      <c r="AU66" s="106" t="s">
        <v>125</v>
      </c>
      <c r="AV66" s="106" t="s">
        <v>125</v>
      </c>
      <c r="AW66" s="106" t="s">
        <v>133</v>
      </c>
    </row>
    <row r="67" spans="1:49" ht="15.75" thickBot="1" x14ac:dyDescent="0.3">
      <c r="A67" s="3" t="s">
        <v>31</v>
      </c>
      <c r="B67" s="76"/>
      <c r="C67" s="76"/>
      <c r="D67" s="76">
        <v>7.5</v>
      </c>
      <c r="E67" s="26"/>
      <c r="F67" s="76">
        <f>F50</f>
        <v>10.668735205479448</v>
      </c>
      <c r="G67" s="76">
        <f>G50</f>
        <v>-89.358179976255727</v>
      </c>
      <c r="H67" s="76">
        <f>H50</f>
        <v>-126.70882749269403</v>
      </c>
      <c r="I67" s="76">
        <f>I50</f>
        <v>-99.09036880616776</v>
      </c>
      <c r="J67" s="76">
        <f>J50</f>
        <v>18.187027297781881</v>
      </c>
      <c r="AS67" s="105">
        <v>18.010000000000002</v>
      </c>
      <c r="AT67" s="106" t="s">
        <v>126</v>
      </c>
      <c r="AU67" s="106" t="s">
        <v>127</v>
      </c>
      <c r="AV67" s="106" t="s">
        <v>127</v>
      </c>
      <c r="AW67" s="106" t="s">
        <v>135</v>
      </c>
    </row>
    <row r="68" spans="1:49" ht="15.75" thickBot="1" x14ac:dyDescent="0.3">
      <c r="A68" s="35" t="s">
        <v>33</v>
      </c>
      <c r="B68" s="76"/>
      <c r="C68" s="76"/>
      <c r="D68" s="76">
        <f>SUM(D61:D67)</f>
        <v>57.5</v>
      </c>
      <c r="E68" s="26"/>
      <c r="F68" s="76">
        <f t="shared" ref="F68" si="23">SUM(F61:F67)</f>
        <v>56.560159863013702</v>
      </c>
      <c r="G68" s="76">
        <f t="shared" ref="G68:J68" si="24">SUM(G61:G67)</f>
        <v>23.201684407305919</v>
      </c>
      <c r="H68" s="76">
        <f t="shared" si="24"/>
        <v>-10.602998081735137</v>
      </c>
      <c r="I68" s="76">
        <f t="shared" si="24"/>
        <v>22.730533175887018</v>
      </c>
      <c r="J68" s="76">
        <f t="shared" si="24"/>
        <v>147.34988678266268</v>
      </c>
      <c r="AS68" s="105">
        <v>18.02</v>
      </c>
      <c r="AT68" s="106" t="s">
        <v>128</v>
      </c>
      <c r="AU68" s="106" t="s">
        <v>129</v>
      </c>
      <c r="AV68" s="106" t="s">
        <v>129</v>
      </c>
      <c r="AW68" s="106" t="s">
        <v>137</v>
      </c>
    </row>
    <row r="69" spans="1:49" ht="15.75" thickBot="1" x14ac:dyDescent="0.3">
      <c r="A69" s="79" t="s">
        <v>184</v>
      </c>
      <c r="B69" s="80"/>
      <c r="C69" s="80"/>
      <c r="D69" s="80">
        <f>D68-D59</f>
        <v>-0.1600000000000108</v>
      </c>
      <c r="E69" s="42"/>
      <c r="F69" s="80">
        <f t="shared" ref="F69" si="25">F68-F59</f>
        <v>0</v>
      </c>
      <c r="G69" s="80">
        <f t="shared" ref="G69:J69" si="26">G68-G59</f>
        <v>0</v>
      </c>
      <c r="H69" s="80">
        <f t="shared" si="26"/>
        <v>-1.7763568394002505E-14</v>
      </c>
      <c r="I69" s="80">
        <f t="shared" si="26"/>
        <v>0</v>
      </c>
      <c r="J69" s="80">
        <f t="shared" si="26"/>
        <v>0</v>
      </c>
      <c r="AS69" s="105">
        <v>18.03</v>
      </c>
      <c r="AT69" s="106" t="s">
        <v>130</v>
      </c>
      <c r="AU69" s="106" t="s">
        <v>131</v>
      </c>
      <c r="AV69" s="106" t="s">
        <v>131</v>
      </c>
      <c r="AW69" s="106" t="s">
        <v>139</v>
      </c>
    </row>
    <row r="70" spans="1:49" ht="15.75" thickBot="1" x14ac:dyDescent="0.3">
      <c r="A70" s="79" t="s">
        <v>185</v>
      </c>
      <c r="B70" s="3"/>
      <c r="C70" s="3"/>
      <c r="D70" s="76">
        <f>D67-D50</f>
        <v>-0.16000000000001968</v>
      </c>
      <c r="E70" s="26"/>
      <c r="F70" s="76">
        <f>F67-F50</f>
        <v>0</v>
      </c>
      <c r="G70" s="76">
        <f>G67-G50</f>
        <v>0</v>
      </c>
      <c r="H70" s="76">
        <f>H67-H50</f>
        <v>0</v>
      </c>
      <c r="I70" s="76">
        <f>I67-I50</f>
        <v>0</v>
      </c>
      <c r="J70" s="76">
        <f>J67-J50</f>
        <v>0</v>
      </c>
      <c r="AS70" s="105">
        <v>18.04</v>
      </c>
      <c r="AT70" s="106" t="s">
        <v>132</v>
      </c>
      <c r="AU70" s="106" t="s">
        <v>133</v>
      </c>
      <c r="AV70" s="106" t="s">
        <v>133</v>
      </c>
      <c r="AW70" s="106" t="s">
        <v>141</v>
      </c>
    </row>
    <row r="71" spans="1:49" ht="15.75" thickBot="1" x14ac:dyDescent="0.3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AS71" s="105">
        <v>18.05</v>
      </c>
      <c r="AT71" s="106" t="s">
        <v>134</v>
      </c>
      <c r="AU71" s="106" t="s">
        <v>135</v>
      </c>
      <c r="AV71" s="106" t="s">
        <v>135</v>
      </c>
      <c r="AW71" s="106" t="s">
        <v>143</v>
      </c>
    </row>
    <row r="72" spans="1:49" ht="15.75" thickBot="1" x14ac:dyDescent="0.3">
      <c r="A72" s="18" t="s">
        <v>7</v>
      </c>
      <c r="B72" s="3"/>
      <c r="C72" s="3"/>
      <c r="D72" s="7" t="s">
        <v>54</v>
      </c>
      <c r="E72" s="8"/>
      <c r="F72" s="9" t="s">
        <v>55</v>
      </c>
      <c r="G72" s="10" t="s">
        <v>56</v>
      </c>
      <c r="H72" s="11" t="s">
        <v>57</v>
      </c>
      <c r="I72" s="12" t="s">
        <v>58</v>
      </c>
      <c r="J72" s="13" t="s">
        <v>103</v>
      </c>
      <c r="AS72" s="105">
        <v>18.059999999999999</v>
      </c>
      <c r="AT72" s="106" t="s">
        <v>136</v>
      </c>
      <c r="AU72" s="106" t="s">
        <v>137</v>
      </c>
      <c r="AV72" s="106" t="s">
        <v>137</v>
      </c>
      <c r="AW72" s="106" t="s">
        <v>145</v>
      </c>
    </row>
    <row r="73" spans="1:49" ht="15.75" thickBot="1" x14ac:dyDescent="0.3">
      <c r="A73" s="3" t="s">
        <v>28</v>
      </c>
      <c r="B73" s="3"/>
      <c r="C73" s="76"/>
      <c r="D73" s="76">
        <f>D64</f>
        <v>0</v>
      </c>
      <c r="E73" s="26"/>
      <c r="F73" s="76">
        <f>F64</f>
        <v>0</v>
      </c>
      <c r="G73" s="76">
        <f>G64</f>
        <v>0</v>
      </c>
      <c r="H73" s="76">
        <f>H64</f>
        <v>0</v>
      </c>
      <c r="I73" s="76">
        <f>I64</f>
        <v>0</v>
      </c>
      <c r="J73" s="76">
        <f>J64</f>
        <v>0</v>
      </c>
      <c r="AS73" s="105">
        <v>18.07</v>
      </c>
      <c r="AT73" s="106" t="s">
        <v>138</v>
      </c>
      <c r="AU73" s="106" t="s">
        <v>139</v>
      </c>
      <c r="AV73" s="106" t="s">
        <v>139</v>
      </c>
      <c r="AW73" s="106" t="s">
        <v>147</v>
      </c>
    </row>
    <row r="74" spans="1:49" ht="15.75" thickBot="1" x14ac:dyDescent="0.3">
      <c r="A74" s="3" t="s">
        <v>35</v>
      </c>
      <c r="B74" s="3"/>
      <c r="C74" s="76"/>
      <c r="D74" s="76">
        <f>+D65</f>
        <v>0</v>
      </c>
      <c r="E74" s="26"/>
      <c r="F74" s="76">
        <f>F14*(1+F82)/365*F80</f>
        <v>4.0914246575342466</v>
      </c>
      <c r="G74" s="76">
        <f>G14*(1+G82)/365*G80</f>
        <v>7.1998643835616418</v>
      </c>
      <c r="H74" s="76">
        <f>H14*(1+H82)/365*H80</f>
        <v>10.697829410958905</v>
      </c>
      <c r="I74" s="76">
        <f>I14*(1+I82)/365*I80</f>
        <v>16.054501982054795</v>
      </c>
      <c r="J74" s="76">
        <f>J14*(1+J82)/365*J80</f>
        <v>23.109739484880823</v>
      </c>
      <c r="AS74" s="105">
        <v>18.079999999999998</v>
      </c>
      <c r="AT74" s="106" t="s">
        <v>140</v>
      </c>
      <c r="AU74" s="106" t="s">
        <v>141</v>
      </c>
      <c r="AV74" s="106" t="s">
        <v>141</v>
      </c>
      <c r="AW74" s="106" t="s">
        <v>149</v>
      </c>
    </row>
    <row r="75" spans="1:49" ht="15.75" thickBot="1" x14ac:dyDescent="0.3">
      <c r="A75" s="3" t="s">
        <v>36</v>
      </c>
      <c r="B75" s="3"/>
      <c r="C75" s="76"/>
      <c r="D75" s="76">
        <v>3</v>
      </c>
      <c r="E75" s="26"/>
      <c r="F75" s="76">
        <f>SUM(F15:F18,F21:F26)*(1+G82)/365*F81</f>
        <v>15.649209863013699</v>
      </c>
      <c r="G75" s="76">
        <f>SUM(G15:G18,G21:G26)*(1+H82)/365*G81</f>
        <v>19.996857073972606</v>
      </c>
      <c r="H75" s="76">
        <f>SUM(H15:H18,H21:H26)*(1+I82)/365*H81</f>
        <v>22.714165084931508</v>
      </c>
      <c r="I75" s="76">
        <f>SUM(I15:I18,I21:I26)*(1+J82)/365*I81</f>
        <v>24.61917786213699</v>
      </c>
      <c r="J75" s="76">
        <f>SUM(J15:J18,J21:J26)*(1+K79)/365*J81</f>
        <v>23.96584697927014</v>
      </c>
      <c r="AS75" s="105">
        <v>18.09</v>
      </c>
      <c r="AT75" s="106" t="s">
        <v>142</v>
      </c>
      <c r="AU75" s="106" t="s">
        <v>143</v>
      </c>
    </row>
    <row r="76" spans="1:49" ht="15.75" thickBot="1" x14ac:dyDescent="0.3">
      <c r="A76" s="3" t="s">
        <v>22</v>
      </c>
      <c r="B76" s="3"/>
      <c r="C76" s="76"/>
      <c r="D76" s="76">
        <v>3.4</v>
      </c>
      <c r="E76" s="26"/>
      <c r="F76" s="76">
        <f>(F19+F20)/3/12*3</f>
        <v>2.3737499999999998</v>
      </c>
      <c r="G76" s="76">
        <f>(G19+G20)/3/12*3</f>
        <v>2.0833333333333335</v>
      </c>
      <c r="H76" s="76">
        <f>(H19+H20)/3/12*3</f>
        <v>4.833333333333333</v>
      </c>
      <c r="I76" s="76">
        <f>(I19+I20)/3/12*3</f>
        <v>4.93</v>
      </c>
      <c r="J76" s="76">
        <f>(J19+J20)/3/12*3</f>
        <v>5.0286</v>
      </c>
      <c r="AS76" s="105">
        <v>18.100000000000001</v>
      </c>
      <c r="AT76" s="106" t="s">
        <v>144</v>
      </c>
      <c r="AU76" s="106" t="s">
        <v>145</v>
      </c>
    </row>
    <row r="77" spans="1:49" ht="15.75" thickBot="1" x14ac:dyDescent="0.3">
      <c r="A77" s="3" t="s">
        <v>7</v>
      </c>
      <c r="B77" s="3"/>
      <c r="C77" s="76"/>
      <c r="D77" s="76">
        <f>D73+D74-D75-D76</f>
        <v>-6.4</v>
      </c>
      <c r="E77" s="26"/>
      <c r="F77" s="76">
        <f t="shared" ref="F77:I77" si="27">F73+F74-F75-F76</f>
        <v>-13.931535205479451</v>
      </c>
      <c r="G77" s="76">
        <f t="shared" si="27"/>
        <v>-14.880326023744297</v>
      </c>
      <c r="H77" s="76">
        <f t="shared" si="27"/>
        <v>-16.849669007305938</v>
      </c>
      <c r="I77" s="76">
        <f t="shared" si="27"/>
        <v>-13.494675880082195</v>
      </c>
      <c r="J77" s="76">
        <f t="shared" ref="J77" si="28">J73+J74-J75-J76</f>
        <v>-5.8847074943893167</v>
      </c>
      <c r="AS77" s="105">
        <v>18.11</v>
      </c>
      <c r="AT77" s="106" t="s">
        <v>146</v>
      </c>
      <c r="AU77" s="106" t="s">
        <v>147</v>
      </c>
    </row>
    <row r="78" spans="1:49" ht="15.75" thickBot="1" x14ac:dyDescent="0.3">
      <c r="A78" s="3" t="s">
        <v>37</v>
      </c>
      <c r="B78" s="3"/>
      <c r="C78" s="76"/>
      <c r="D78" s="76">
        <f>C77-D77</f>
        <v>6.4</v>
      </c>
      <c r="E78" s="26"/>
      <c r="F78" s="76">
        <f>D77-F77</f>
        <v>7.5315352054794502</v>
      </c>
      <c r="G78" s="76">
        <f t="shared" ref="G78:J78" si="29">F77-G77</f>
        <v>0.94879081826484679</v>
      </c>
      <c r="H78" s="76">
        <f t="shared" si="29"/>
        <v>1.9693429835616403</v>
      </c>
      <c r="I78" s="76">
        <f t="shared" si="29"/>
        <v>-3.354993127223743</v>
      </c>
      <c r="J78" s="76">
        <f t="shared" si="29"/>
        <v>-7.6099683856928779</v>
      </c>
      <c r="AS78" s="105">
        <v>18.12</v>
      </c>
      <c r="AT78" s="106" t="s">
        <v>148</v>
      </c>
      <c r="AU78" s="106" t="s">
        <v>149</v>
      </c>
    </row>
    <row r="79" spans="1:49" ht="15.75" thickBot="1" x14ac:dyDescent="0.3">
      <c r="A79" s="35" t="s">
        <v>38</v>
      </c>
      <c r="B79" s="3"/>
      <c r="C79" s="75"/>
      <c r="D79" s="108" t="s">
        <v>186</v>
      </c>
      <c r="E79" s="26"/>
      <c r="F79" s="75"/>
      <c r="G79" s="75"/>
      <c r="H79" s="75"/>
      <c r="I79" s="75"/>
      <c r="J79" s="75"/>
      <c r="AS79" s="105">
        <v>19.010000000000002</v>
      </c>
      <c r="AT79" s="106" t="s">
        <v>150</v>
      </c>
      <c r="AU79" s="106" t="s">
        <v>151</v>
      </c>
    </row>
    <row r="80" spans="1:49" ht="15.75" thickBot="1" x14ac:dyDescent="0.3">
      <c r="A80" s="35" t="s">
        <v>39</v>
      </c>
      <c r="B80" s="3"/>
      <c r="C80" s="75"/>
      <c r="D80" s="108" t="s">
        <v>186</v>
      </c>
      <c r="E80" s="26"/>
      <c r="F80" s="75">
        <v>15</v>
      </c>
      <c r="G80" s="75">
        <v>15</v>
      </c>
      <c r="H80" s="75">
        <v>15</v>
      </c>
      <c r="I80" s="75">
        <v>15</v>
      </c>
      <c r="J80" s="75">
        <v>15</v>
      </c>
      <c r="AS80" s="105">
        <v>19.02</v>
      </c>
      <c r="AT80" s="106" t="s">
        <v>152</v>
      </c>
      <c r="AU80" s="106" t="s">
        <v>153</v>
      </c>
    </row>
    <row r="81" spans="1:10" x14ac:dyDescent="0.25">
      <c r="A81" s="35" t="s">
        <v>40</v>
      </c>
      <c r="B81" s="3"/>
      <c r="C81" s="75"/>
      <c r="D81" s="108" t="s">
        <v>186</v>
      </c>
      <c r="E81" s="26"/>
      <c r="F81" s="75">
        <v>60</v>
      </c>
      <c r="G81" s="75">
        <v>60</v>
      </c>
      <c r="H81" s="75">
        <v>60</v>
      </c>
      <c r="I81" s="75">
        <v>60</v>
      </c>
      <c r="J81" s="75">
        <v>60</v>
      </c>
    </row>
    <row r="82" spans="1:10" x14ac:dyDescent="0.25">
      <c r="A82" s="35" t="s">
        <v>41</v>
      </c>
      <c r="B82" s="3"/>
      <c r="C82" s="24"/>
      <c r="D82" s="24">
        <v>0.2</v>
      </c>
      <c r="E82" s="109"/>
      <c r="F82" s="24">
        <v>0.2</v>
      </c>
      <c r="G82" s="24">
        <v>0.2</v>
      </c>
      <c r="H82" s="24">
        <v>0.2</v>
      </c>
      <c r="I82" s="24">
        <v>0.2</v>
      </c>
      <c r="J82" s="24">
        <v>0.2</v>
      </c>
    </row>
    <row r="83" spans="1:10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7"/>
    </row>
  </sheetData>
  <mergeCells count="81">
    <mergeCell ref="O63:P65"/>
    <mergeCell ref="O50:P50"/>
    <mergeCell ref="O51:P53"/>
    <mergeCell ref="O57:P57"/>
    <mergeCell ref="O58:P60"/>
    <mergeCell ref="O62:P62"/>
    <mergeCell ref="BL3:BM3"/>
    <mergeCell ref="BQ3:BR3"/>
    <mergeCell ref="BJ5:BL5"/>
    <mergeCell ref="BO5:BQ5"/>
    <mergeCell ref="BJ9:BL9"/>
    <mergeCell ref="BO9:BQ9"/>
    <mergeCell ref="BJ14:BL14"/>
    <mergeCell ref="BJ21:BL21"/>
    <mergeCell ref="BO21:BQ21"/>
    <mergeCell ref="BJ33:BL33"/>
    <mergeCell ref="BO33:BQ33"/>
    <mergeCell ref="AZ33:BB33"/>
    <mergeCell ref="BG3:BH3"/>
    <mergeCell ref="BE5:BG5"/>
    <mergeCell ref="BE9:BG9"/>
    <mergeCell ref="BE21:BG21"/>
    <mergeCell ref="BE33:BG33"/>
    <mergeCell ref="BB3:BC3"/>
    <mergeCell ref="AZ5:BB5"/>
    <mergeCell ref="AZ9:BB9"/>
    <mergeCell ref="AZ14:BB14"/>
    <mergeCell ref="AZ21:BB21"/>
    <mergeCell ref="AO21:AQ21"/>
    <mergeCell ref="AO33:AQ33"/>
    <mergeCell ref="AV3:AW3"/>
    <mergeCell ref="AT5:AV5"/>
    <mergeCell ref="AT9:AV9"/>
    <mergeCell ref="AT21:AV21"/>
    <mergeCell ref="AT33:AV33"/>
    <mergeCell ref="AQ3:AR3"/>
    <mergeCell ref="AO5:AQ5"/>
    <mergeCell ref="AO9:AQ9"/>
    <mergeCell ref="AO14:AQ14"/>
    <mergeCell ref="Z8:AB8"/>
    <mergeCell ref="AE4:AG4"/>
    <mergeCell ref="AE8:AG8"/>
    <mergeCell ref="AJ5:AL5"/>
    <mergeCell ref="Z32:AB32"/>
    <mergeCell ref="Z20:AB20"/>
    <mergeCell ref="AE13:AG13"/>
    <mergeCell ref="AE20:AG20"/>
    <mergeCell ref="AE32:AG32"/>
    <mergeCell ref="P39:Q39"/>
    <mergeCell ref="Q12:R12"/>
    <mergeCell ref="N8:O8"/>
    <mergeCell ref="AJ33:AL33"/>
    <mergeCell ref="AG2:AH2"/>
    <mergeCell ref="AL2:AM2"/>
    <mergeCell ref="AJ9:AL9"/>
    <mergeCell ref="Z19:AB19"/>
    <mergeCell ref="P29:Q29"/>
    <mergeCell ref="U3:V3"/>
    <mergeCell ref="W3:X3"/>
    <mergeCell ref="N25:O25"/>
    <mergeCell ref="P25:R25"/>
    <mergeCell ref="AJ21:AL21"/>
    <mergeCell ref="Z4:AB4"/>
    <mergeCell ref="Z13:AB13"/>
    <mergeCell ref="A4:B5"/>
    <mergeCell ref="A2:C2"/>
    <mergeCell ref="N17:P17"/>
    <mergeCell ref="N4:O4"/>
    <mergeCell ref="N12:P12"/>
    <mergeCell ref="P4:R4"/>
    <mergeCell ref="N13:O13"/>
    <mergeCell ref="N14:O14"/>
    <mergeCell ref="D2:J2"/>
    <mergeCell ref="P8:R8"/>
    <mergeCell ref="R46:T46"/>
    <mergeCell ref="P40:Q40"/>
    <mergeCell ref="P41:Q41"/>
    <mergeCell ref="P42:Q42"/>
    <mergeCell ref="P43:Q43"/>
    <mergeCell ref="P44:Q44"/>
    <mergeCell ref="O46:Q46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83"/>
  <sheetViews>
    <sheetView tabSelected="1" zoomScale="85" zoomScaleNormal="85" workbookViewId="0">
      <selection activeCell="L13" sqref="L13"/>
    </sheetView>
  </sheetViews>
  <sheetFormatPr baseColWidth="10" defaultColWidth="8.28515625" defaultRowHeight="15" x14ac:dyDescent="0.25"/>
  <cols>
    <col min="1" max="1" width="39.5703125" style="110" customWidth="1"/>
    <col min="2" max="2" width="8.28515625" style="110" customWidth="1"/>
    <col min="3" max="3" width="9.5703125" style="110" bestFit="1" customWidth="1"/>
    <col min="4" max="4" width="9.85546875" style="110" customWidth="1"/>
    <col min="5" max="5" width="1.7109375" style="110" customWidth="1"/>
    <col min="6" max="6" width="9.85546875" style="110" customWidth="1"/>
    <col min="7" max="7" width="10" style="110" customWidth="1"/>
    <col min="8" max="10" width="9.7109375" style="110" bestFit="1" customWidth="1"/>
    <col min="11" max="12" width="7.7109375" style="110" customWidth="1"/>
    <col min="13" max="13" width="7.42578125" style="110" customWidth="1"/>
    <col min="14" max="14" width="13.5703125" style="110" hidden="1" customWidth="1"/>
    <col min="15" max="15" width="19.7109375" style="110" hidden="1" customWidth="1"/>
    <col min="16" max="16" width="21.5703125" style="110" hidden="1" customWidth="1"/>
    <col min="17" max="17" width="19.7109375" style="110" hidden="1" customWidth="1"/>
    <col min="18" max="18" width="18.5703125" style="110" hidden="1" customWidth="1"/>
    <col min="19" max="19" width="18.5703125" style="111" hidden="1" customWidth="1"/>
    <col min="20" max="20" width="18.5703125" style="110" hidden="1" customWidth="1"/>
    <col min="21" max="21" width="20.140625" style="110" hidden="1" customWidth="1"/>
    <col min="22" max="22" width="14" style="110" customWidth="1"/>
    <col min="23" max="23" width="15" style="110" customWidth="1"/>
    <col min="24" max="24" width="13.28515625" style="110" customWidth="1"/>
    <col min="25" max="25" width="18.85546875" style="110" hidden="1" customWidth="1"/>
    <col min="26" max="26" width="21" style="110" hidden="1" customWidth="1"/>
    <col min="27" max="27" width="14.5703125" style="110" hidden="1" customWidth="1"/>
    <col min="28" max="30" width="14.28515625" style="110" hidden="1" customWidth="1"/>
    <col min="31" max="31" width="18.42578125" style="110" hidden="1" customWidth="1"/>
    <col min="32" max="34" width="14.28515625" style="110" hidden="1" customWidth="1"/>
    <col min="35" max="35" width="10.42578125" style="110" hidden="1" customWidth="1"/>
    <col min="36" max="36" width="16.85546875" style="110" hidden="1" customWidth="1"/>
    <col min="37" max="37" width="17.85546875" style="110" hidden="1" customWidth="1"/>
    <col min="38" max="38" width="12.5703125" style="110" hidden="1" customWidth="1"/>
    <col min="39" max="40" width="10.85546875" style="110" hidden="1" customWidth="1"/>
    <col min="41" max="41" width="18.42578125" style="110" hidden="1" customWidth="1"/>
    <col min="42" max="42" width="16.5703125" style="110" hidden="1" customWidth="1"/>
    <col min="43" max="43" width="15.42578125" style="110" hidden="1" customWidth="1"/>
    <col min="44" max="45" width="10.85546875" style="110" hidden="1" customWidth="1"/>
    <col min="46" max="46" width="16" style="110" hidden="1" customWidth="1"/>
    <col min="47" max="48" width="15" style="110" hidden="1" customWidth="1"/>
    <col min="49" max="49" width="12.5703125" style="110" hidden="1" customWidth="1"/>
    <col min="50" max="50" width="10.85546875" style="110" hidden="1" customWidth="1"/>
    <col min="51" max="51" width="11.28515625" style="110" hidden="1" customWidth="1"/>
    <col min="52" max="52" width="18.7109375" style="110" hidden="1" customWidth="1"/>
    <col min="53" max="53" width="15.5703125" style="110" hidden="1" customWidth="1"/>
    <col min="54" max="54" width="13" style="110" hidden="1" customWidth="1"/>
    <col min="55" max="56" width="9.5703125" style="110" hidden="1" customWidth="1"/>
    <col min="57" max="57" width="18.28515625" style="110" hidden="1" customWidth="1"/>
    <col min="58" max="58" width="15.28515625" style="110" hidden="1" customWidth="1"/>
    <col min="59" max="59" width="12.7109375" style="110" hidden="1" customWidth="1"/>
    <col min="60" max="60" width="9.5703125" style="110" hidden="1" customWidth="1"/>
    <col min="61" max="61" width="9.7109375" style="110" hidden="1" customWidth="1"/>
    <col min="62" max="62" width="17.5703125" style="110" hidden="1" customWidth="1"/>
    <col min="63" max="63" width="14.28515625" style="110" hidden="1" customWidth="1"/>
    <col min="64" max="64" width="12.85546875" style="110" hidden="1" customWidth="1"/>
    <col min="65" max="66" width="8.28515625" style="110" hidden="1" customWidth="1"/>
    <col min="67" max="67" width="17.42578125" style="110" hidden="1" customWidth="1"/>
    <col min="68" max="68" width="9.28515625" style="110" hidden="1" customWidth="1"/>
    <col min="69" max="69" width="13.28515625" style="110" hidden="1" customWidth="1"/>
    <col min="70" max="70" width="13.140625" style="110" hidden="1" customWidth="1"/>
    <col min="71" max="71" width="8.28515625" style="110" hidden="1" customWidth="1"/>
    <col min="72" max="72" width="10.140625" style="110" customWidth="1"/>
    <col min="73" max="16384" width="8.28515625" style="110"/>
  </cols>
  <sheetData>
    <row r="1" spans="1:70" ht="14.65" x14ac:dyDescent="0.4">
      <c r="A1" s="110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70" x14ac:dyDescent="0.25">
      <c r="A2" s="266" t="s">
        <v>52</v>
      </c>
      <c r="B2" s="266"/>
      <c r="C2" s="266"/>
      <c r="D2" s="267" t="s">
        <v>210</v>
      </c>
      <c r="E2" s="267"/>
      <c r="F2" s="267"/>
      <c r="G2" s="267"/>
      <c r="H2" s="267"/>
      <c r="I2" s="267"/>
      <c r="J2" s="267"/>
      <c r="O2" s="112" t="s">
        <v>164</v>
      </c>
      <c r="P2" s="112" t="s">
        <v>164</v>
      </c>
      <c r="Q2" s="112" t="s">
        <v>165</v>
      </c>
      <c r="R2" s="112" t="s">
        <v>165</v>
      </c>
      <c r="AF2" s="113" t="s">
        <v>112</v>
      </c>
      <c r="AG2" s="265" t="s">
        <v>114</v>
      </c>
      <c r="AH2" s="265"/>
      <c r="AK2" s="113" t="s">
        <v>113</v>
      </c>
      <c r="AL2" s="265" t="s">
        <v>115</v>
      </c>
      <c r="AM2" s="265"/>
    </row>
    <row r="3" spans="1:70" x14ac:dyDescent="0.25">
      <c r="A3" s="1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S3" s="310" t="s">
        <v>102</v>
      </c>
      <c r="U3" s="322"/>
      <c r="V3" s="322"/>
      <c r="W3" s="322"/>
      <c r="X3" s="322"/>
      <c r="Z3" s="112" t="s">
        <v>167</v>
      </c>
      <c r="AB3" s="112" t="s">
        <v>166</v>
      </c>
      <c r="AC3" s="114" t="s">
        <v>102</v>
      </c>
      <c r="AH3" s="115" t="s">
        <v>102</v>
      </c>
      <c r="AP3" s="113" t="s">
        <v>112</v>
      </c>
      <c r="AQ3" s="265" t="s">
        <v>114</v>
      </c>
      <c r="AR3" s="265"/>
      <c r="AU3" s="113" t="s">
        <v>112</v>
      </c>
      <c r="AV3" s="265" t="s">
        <v>115</v>
      </c>
      <c r="AW3" s="265"/>
      <c r="BA3" s="113" t="s">
        <v>112</v>
      </c>
      <c r="BB3" s="265" t="s">
        <v>114</v>
      </c>
      <c r="BC3" s="265"/>
      <c r="BF3" s="113" t="s">
        <v>112</v>
      </c>
      <c r="BG3" s="265" t="s">
        <v>157</v>
      </c>
      <c r="BH3" s="265"/>
      <c r="BK3" s="113" t="s">
        <v>112</v>
      </c>
      <c r="BL3" s="265" t="s">
        <v>114</v>
      </c>
      <c r="BM3" s="265"/>
      <c r="BP3" s="113" t="s">
        <v>112</v>
      </c>
      <c r="BQ3" s="265" t="s">
        <v>157</v>
      </c>
      <c r="BR3" s="265"/>
    </row>
    <row r="4" spans="1:70" x14ac:dyDescent="0.25">
      <c r="A4" s="272" t="s">
        <v>51</v>
      </c>
      <c r="B4" s="273"/>
      <c r="C4" s="112"/>
      <c r="D4" s="116" t="s">
        <v>54</v>
      </c>
      <c r="E4" s="117"/>
      <c r="F4" s="118" t="s">
        <v>55</v>
      </c>
      <c r="G4" s="119" t="s">
        <v>56</v>
      </c>
      <c r="H4" s="120" t="s">
        <v>57</v>
      </c>
      <c r="I4" s="121" t="s">
        <v>58</v>
      </c>
      <c r="J4" s="122" t="s">
        <v>103</v>
      </c>
      <c r="M4" s="312"/>
      <c r="N4" s="313" t="s">
        <v>84</v>
      </c>
      <c r="O4" s="313"/>
      <c r="P4" s="313" t="s">
        <v>54</v>
      </c>
      <c r="Q4" s="313"/>
      <c r="R4" s="313"/>
      <c r="S4" s="312"/>
      <c r="T4" s="312"/>
      <c r="U4" s="314" t="s">
        <v>91</v>
      </c>
      <c r="V4" s="315"/>
      <c r="W4" s="314"/>
      <c r="X4" s="315"/>
      <c r="Z4" s="279" t="s">
        <v>106</v>
      </c>
      <c r="AA4" s="280"/>
      <c r="AB4" s="281"/>
      <c r="AE4" s="282" t="s">
        <v>109</v>
      </c>
      <c r="AF4" s="283"/>
      <c r="AG4" s="284"/>
      <c r="AM4" s="114" t="s">
        <v>102</v>
      </c>
      <c r="AR4" s="115" t="s">
        <v>102</v>
      </c>
      <c r="AW4" s="115" t="s">
        <v>102</v>
      </c>
      <c r="BC4" s="114" t="s">
        <v>102</v>
      </c>
      <c r="BH4" s="115" t="s">
        <v>102</v>
      </c>
      <c r="BM4" s="114" t="s">
        <v>102</v>
      </c>
      <c r="BR4" s="115" t="s">
        <v>102</v>
      </c>
    </row>
    <row r="5" spans="1:70" x14ac:dyDescent="0.25">
      <c r="A5" s="274"/>
      <c r="B5" s="275"/>
      <c r="C5" s="125"/>
      <c r="D5" s="125"/>
      <c r="E5" s="126"/>
      <c r="F5" s="127"/>
      <c r="G5" s="127"/>
      <c r="H5" s="127"/>
      <c r="I5" s="127"/>
      <c r="J5" s="127"/>
      <c r="M5" s="312"/>
      <c r="N5" s="316" t="s">
        <v>3</v>
      </c>
      <c r="O5" s="316" t="s">
        <v>93</v>
      </c>
      <c r="P5" s="316" t="s">
        <v>74</v>
      </c>
      <c r="Q5" s="316" t="s">
        <v>73</v>
      </c>
      <c r="R5" s="316" t="s">
        <v>62</v>
      </c>
      <c r="S5" s="312"/>
      <c r="T5" s="312"/>
      <c r="U5" s="312" t="s">
        <v>90</v>
      </c>
      <c r="V5" s="317"/>
      <c r="W5" s="312"/>
      <c r="X5" s="317"/>
      <c r="Z5" s="130" t="s">
        <v>61</v>
      </c>
      <c r="AA5" s="130" t="s">
        <v>73</v>
      </c>
      <c r="AB5" s="130" t="s">
        <v>62</v>
      </c>
      <c r="AE5" s="131" t="s">
        <v>61</v>
      </c>
      <c r="AF5" s="131" t="s">
        <v>73</v>
      </c>
      <c r="AG5" s="131" t="s">
        <v>62</v>
      </c>
      <c r="AJ5" s="282" t="s">
        <v>109</v>
      </c>
      <c r="AK5" s="283"/>
      <c r="AL5" s="284"/>
      <c r="AO5" s="285" t="s">
        <v>116</v>
      </c>
      <c r="AP5" s="286"/>
      <c r="AQ5" s="287"/>
      <c r="AT5" s="285" t="s">
        <v>116</v>
      </c>
      <c r="AU5" s="286"/>
      <c r="AV5" s="287"/>
      <c r="AZ5" s="288" t="s">
        <v>154</v>
      </c>
      <c r="BA5" s="289"/>
      <c r="BB5" s="290"/>
      <c r="BE5" s="288" t="s">
        <v>154</v>
      </c>
      <c r="BF5" s="289"/>
      <c r="BG5" s="290"/>
      <c r="BJ5" s="269" t="s">
        <v>158</v>
      </c>
      <c r="BK5" s="270"/>
      <c r="BL5" s="271"/>
      <c r="BO5" s="269" t="s">
        <v>158</v>
      </c>
      <c r="BP5" s="270"/>
      <c r="BQ5" s="271"/>
    </row>
    <row r="6" spans="1:70" x14ac:dyDescent="0.25">
      <c r="A6" s="132" t="s">
        <v>187</v>
      </c>
      <c r="B6" s="133">
        <v>0.75</v>
      </c>
      <c r="C6" s="134"/>
      <c r="D6" s="134">
        <f>+R27</f>
        <v>8.1999999999999993</v>
      </c>
      <c r="E6" s="135"/>
      <c r="F6" s="134">
        <v>35.402999999999999</v>
      </c>
      <c r="G6" s="134">
        <f>F6*(1+$B$6)</f>
        <v>61.955249999999999</v>
      </c>
      <c r="H6" s="134">
        <f t="shared" ref="H6:J6" si="0">G6*(1+$B$6)</f>
        <v>108.4216875</v>
      </c>
      <c r="I6" s="134">
        <f t="shared" si="0"/>
        <v>189.73795312500002</v>
      </c>
      <c r="J6" s="134">
        <f t="shared" si="0"/>
        <v>332.04141796875001</v>
      </c>
      <c r="M6" s="312"/>
      <c r="N6" s="318">
        <v>2</v>
      </c>
      <c r="O6" s="318">
        <f>240</f>
        <v>240</v>
      </c>
      <c r="P6" s="312">
        <f>+$O$6*12</f>
        <v>2880</v>
      </c>
      <c r="Q6" s="319">
        <v>1</v>
      </c>
      <c r="R6" s="320">
        <f>Q6*P6</f>
        <v>2880</v>
      </c>
      <c r="S6" s="161">
        <v>2.8</v>
      </c>
      <c r="T6" s="312"/>
      <c r="U6" s="312" t="s">
        <v>92</v>
      </c>
      <c r="V6" s="317"/>
      <c r="W6" s="312"/>
      <c r="X6" s="317"/>
      <c r="Z6" s="112">
        <f>+P11</f>
        <v>1344</v>
      </c>
      <c r="AA6" s="137" t="e">
        <f>+AB6/X10</f>
        <v>#DIV/0!</v>
      </c>
      <c r="AB6" s="129">
        <f>(1059*12)/1.2</f>
        <v>10590</v>
      </c>
      <c r="AC6" s="114">
        <v>10.59</v>
      </c>
      <c r="AE6" s="112">
        <f>+Z6</f>
        <v>1344</v>
      </c>
      <c r="AF6" s="138">
        <f>+$AG6/AB6</f>
        <v>1.2</v>
      </c>
      <c r="AG6" s="129">
        <f>1059*12</f>
        <v>12708</v>
      </c>
      <c r="AH6" s="114">
        <v>12.7</v>
      </c>
      <c r="AJ6" s="131" t="s">
        <v>61</v>
      </c>
      <c r="AK6" s="131" t="s">
        <v>73</v>
      </c>
      <c r="AL6" s="131" t="s">
        <v>62</v>
      </c>
      <c r="AO6" s="139" t="s">
        <v>61</v>
      </c>
      <c r="AP6" s="139" t="s">
        <v>73</v>
      </c>
      <c r="AQ6" s="139" t="s">
        <v>62</v>
      </c>
      <c r="AT6" s="139" t="s">
        <v>61</v>
      </c>
      <c r="AU6" s="139" t="s">
        <v>73</v>
      </c>
      <c r="AV6" s="139" t="s">
        <v>62</v>
      </c>
      <c r="AZ6" s="140" t="s">
        <v>61</v>
      </c>
      <c r="BA6" s="140" t="s">
        <v>73</v>
      </c>
      <c r="BB6" s="140" t="s">
        <v>62</v>
      </c>
      <c r="BE6" s="140" t="s">
        <v>61</v>
      </c>
      <c r="BF6" s="140" t="s">
        <v>73</v>
      </c>
      <c r="BG6" s="140" t="s">
        <v>62</v>
      </c>
      <c r="BJ6" s="141" t="s">
        <v>61</v>
      </c>
      <c r="BK6" s="141" t="s">
        <v>73</v>
      </c>
      <c r="BL6" s="141" t="s">
        <v>62</v>
      </c>
      <c r="BO6" s="141" t="s">
        <v>61</v>
      </c>
      <c r="BP6" s="141" t="s">
        <v>73</v>
      </c>
      <c r="BQ6" s="141" t="s">
        <v>62</v>
      </c>
    </row>
    <row r="7" spans="1:70" ht="14.65" x14ac:dyDescent="0.4">
      <c r="A7" s="142" t="s">
        <v>188</v>
      </c>
      <c r="B7" s="133"/>
      <c r="C7" s="134"/>
      <c r="D7" s="134"/>
      <c r="E7" s="135"/>
      <c r="F7" s="134"/>
      <c r="G7" s="134">
        <f t="shared" ref="G7:J11" si="1">F7*(1+$B$6)</f>
        <v>0</v>
      </c>
      <c r="H7" s="134">
        <f t="shared" si="1"/>
        <v>0</v>
      </c>
      <c r="I7" s="134">
        <f t="shared" si="1"/>
        <v>0</v>
      </c>
      <c r="J7" s="134">
        <f t="shared" si="1"/>
        <v>0</v>
      </c>
      <c r="M7" s="312"/>
      <c r="N7" s="312">
        <v>2</v>
      </c>
      <c r="O7" s="312">
        <v>200</v>
      </c>
      <c r="P7" s="312">
        <f>+O7*12</f>
        <v>2400</v>
      </c>
      <c r="Q7" s="315">
        <v>0</v>
      </c>
      <c r="R7" s="317">
        <f>+Q7*P7</f>
        <v>0</v>
      </c>
      <c r="S7" s="161">
        <v>0</v>
      </c>
      <c r="T7" s="312"/>
      <c r="U7" s="321" t="s">
        <v>97</v>
      </c>
      <c r="V7" s="312"/>
      <c r="W7" s="321"/>
      <c r="X7" s="317"/>
      <c r="AJ7" s="112">
        <f>+Z6</f>
        <v>1344</v>
      </c>
      <c r="AK7" s="124" t="e">
        <f t="shared" ref="AK7:AL7" si="2">+AA6</f>
        <v>#DIV/0!</v>
      </c>
      <c r="AL7" s="112">
        <f t="shared" si="2"/>
        <v>10590</v>
      </c>
      <c r="AM7" s="114">
        <v>12.7</v>
      </c>
      <c r="AO7" s="112">
        <f>+AJ7</f>
        <v>1344</v>
      </c>
      <c r="AP7" s="138">
        <f>+AQ7/AL7</f>
        <v>1.2</v>
      </c>
      <c r="AQ7" s="129">
        <f>1059*12</f>
        <v>12708</v>
      </c>
      <c r="AR7" s="114">
        <v>12.7</v>
      </c>
      <c r="AT7" s="112">
        <f>+AO7</f>
        <v>1344</v>
      </c>
      <c r="AU7" s="138">
        <f>+AV7/AQ7</f>
        <v>1</v>
      </c>
      <c r="AV7" s="129">
        <f>1059*12</f>
        <v>12708</v>
      </c>
      <c r="AW7" s="114">
        <v>12.7</v>
      </c>
      <c r="AZ7" s="112">
        <f>+AT7</f>
        <v>1344</v>
      </c>
      <c r="BA7" s="138">
        <f>+AU7</f>
        <v>1</v>
      </c>
      <c r="BB7" s="129">
        <f>1059*12</f>
        <v>12708</v>
      </c>
      <c r="BC7" s="114">
        <v>12.7</v>
      </c>
      <c r="BE7" s="112">
        <f>+AZ7</f>
        <v>1344</v>
      </c>
      <c r="BF7" s="138">
        <f>+BG7/BB7</f>
        <v>1</v>
      </c>
      <c r="BG7" s="129">
        <f>1059*12</f>
        <v>12708</v>
      </c>
      <c r="BH7" s="114">
        <v>12.7</v>
      </c>
      <c r="BJ7" s="112">
        <f>+BE7</f>
        <v>1344</v>
      </c>
      <c r="BK7" s="138">
        <f>+BL7/BG7</f>
        <v>1</v>
      </c>
      <c r="BL7" s="129">
        <f>1059*12</f>
        <v>12708</v>
      </c>
      <c r="BM7" s="114">
        <v>12.7</v>
      </c>
      <c r="BO7" s="112">
        <f>+BJ7</f>
        <v>1344</v>
      </c>
      <c r="BP7" s="138">
        <f>+BQ7/BL7</f>
        <v>1</v>
      </c>
      <c r="BQ7" s="129">
        <f>1059*12</f>
        <v>12708</v>
      </c>
      <c r="BR7" s="114">
        <v>12.7</v>
      </c>
    </row>
    <row r="8" spans="1:70" ht="14.65" x14ac:dyDescent="0.4">
      <c r="A8" s="132" t="s">
        <v>189</v>
      </c>
      <c r="B8" s="133">
        <v>0.5</v>
      </c>
      <c r="C8" s="134"/>
      <c r="D8" s="134">
        <f>+R14</f>
        <v>0</v>
      </c>
      <c r="E8" s="135"/>
      <c r="F8" s="134">
        <v>20.09</v>
      </c>
      <c r="G8" s="134">
        <f>F8*(1+$B$8)</f>
        <v>30.134999999999998</v>
      </c>
      <c r="H8" s="134">
        <f t="shared" ref="H8" si="3">G8*(1+$B$8)</f>
        <v>45.202500000000001</v>
      </c>
      <c r="I8" s="134">
        <f>H8*(0.8+$B$8)</f>
        <v>58.763249999999999</v>
      </c>
      <c r="J8" s="134">
        <f>I8*(0.5+$B$8)</f>
        <v>58.763249999999999</v>
      </c>
      <c r="M8" s="312"/>
      <c r="N8" s="313" t="s">
        <v>94</v>
      </c>
      <c r="O8" s="313"/>
      <c r="P8" s="313" t="s">
        <v>54</v>
      </c>
      <c r="Q8" s="313"/>
      <c r="R8" s="313"/>
      <c r="S8" s="312"/>
      <c r="T8" s="312"/>
      <c r="U8" s="314" t="s">
        <v>91</v>
      </c>
      <c r="V8" s="315"/>
      <c r="W8" s="314"/>
      <c r="X8" s="315"/>
      <c r="Z8" s="279" t="s">
        <v>107</v>
      </c>
      <c r="AA8" s="280"/>
      <c r="AB8" s="281"/>
      <c r="AE8" s="282" t="s">
        <v>110</v>
      </c>
      <c r="AF8" s="283"/>
      <c r="AG8" s="284"/>
    </row>
    <row r="9" spans="1:70" x14ac:dyDescent="0.25">
      <c r="A9" s="142" t="s">
        <v>190</v>
      </c>
      <c r="B9" s="133"/>
      <c r="C9" s="134"/>
      <c r="D9" s="134"/>
      <c r="E9" s="135"/>
      <c r="F9" s="134"/>
      <c r="G9" s="134">
        <f t="shared" si="1"/>
        <v>0</v>
      </c>
      <c r="H9" s="134">
        <f t="shared" si="1"/>
        <v>0</v>
      </c>
      <c r="I9" s="134">
        <f t="shared" si="1"/>
        <v>0</v>
      </c>
      <c r="J9" s="134">
        <f t="shared" si="1"/>
        <v>0</v>
      </c>
      <c r="M9" s="312"/>
      <c r="N9" s="316" t="s">
        <v>3</v>
      </c>
      <c r="O9" s="316" t="s">
        <v>93</v>
      </c>
      <c r="P9" s="316" t="s">
        <v>74</v>
      </c>
      <c r="Q9" s="316" t="s">
        <v>73</v>
      </c>
      <c r="R9" s="316" t="s">
        <v>101</v>
      </c>
      <c r="S9" s="312"/>
      <c r="T9" s="312"/>
      <c r="U9" s="312" t="s">
        <v>90</v>
      </c>
      <c r="V9" s="317"/>
      <c r="W9" s="312"/>
      <c r="X9" s="317"/>
      <c r="Z9" s="130" t="s">
        <v>61</v>
      </c>
      <c r="AA9" s="130" t="s">
        <v>73</v>
      </c>
      <c r="AB9" s="130" t="s">
        <v>62</v>
      </c>
      <c r="AE9" s="131" t="s">
        <v>61</v>
      </c>
      <c r="AF9" s="131" t="s">
        <v>73</v>
      </c>
      <c r="AG9" s="131" t="s">
        <v>62</v>
      </c>
      <c r="AJ9" s="282" t="s">
        <v>110</v>
      </c>
      <c r="AK9" s="283"/>
      <c r="AL9" s="284"/>
      <c r="AO9" s="285" t="s">
        <v>117</v>
      </c>
      <c r="AP9" s="286"/>
      <c r="AQ9" s="287"/>
      <c r="AT9" s="285" t="s">
        <v>117</v>
      </c>
      <c r="AU9" s="286"/>
      <c r="AV9" s="287"/>
      <c r="AZ9" s="288" t="s">
        <v>155</v>
      </c>
      <c r="BA9" s="289"/>
      <c r="BB9" s="290"/>
      <c r="BE9" s="288" t="s">
        <v>155</v>
      </c>
      <c r="BF9" s="289"/>
      <c r="BG9" s="290"/>
      <c r="BJ9" s="269" t="s">
        <v>159</v>
      </c>
      <c r="BK9" s="270"/>
      <c r="BL9" s="271"/>
      <c r="BO9" s="269" t="s">
        <v>159</v>
      </c>
      <c r="BP9" s="270"/>
      <c r="BQ9" s="271"/>
    </row>
    <row r="10" spans="1:70" x14ac:dyDescent="0.25">
      <c r="A10" s="132" t="s">
        <v>191</v>
      </c>
      <c r="B10" s="133">
        <v>0.02</v>
      </c>
      <c r="C10" s="134"/>
      <c r="D10" s="134">
        <f>+S7+S11</f>
        <v>5.2</v>
      </c>
      <c r="E10" s="135"/>
      <c r="F10" s="134">
        <v>15.917999999999999</v>
      </c>
      <c r="G10" s="134">
        <v>36.576000000000001</v>
      </c>
      <c r="H10" s="134">
        <f t="shared" ref="H10:J10" si="4">G10*(1+$B$10)</f>
        <v>37.307520000000004</v>
      </c>
      <c r="I10" s="134">
        <f t="shared" si="4"/>
        <v>38.053670400000001</v>
      </c>
      <c r="J10" s="134">
        <f t="shared" si="4"/>
        <v>38.814743808000003</v>
      </c>
      <c r="M10" s="312"/>
      <c r="N10" s="318">
        <v>1</v>
      </c>
      <c r="O10" s="318">
        <v>152</v>
      </c>
      <c r="P10" s="312">
        <f>+$O$6*12</f>
        <v>2880</v>
      </c>
      <c r="Q10" s="319">
        <v>1</v>
      </c>
      <c r="R10" s="317">
        <f>Q10*P10</f>
        <v>2880</v>
      </c>
      <c r="S10" s="312"/>
      <c r="T10" s="312"/>
      <c r="U10" s="312" t="s">
        <v>92</v>
      </c>
      <c r="V10" s="317"/>
      <c r="W10" s="312"/>
      <c r="X10" s="317"/>
      <c r="Z10" s="112">
        <f>+P7</f>
        <v>2400</v>
      </c>
      <c r="AA10" s="137" t="e">
        <f>+AB10/X6</f>
        <v>#DIV/0!</v>
      </c>
      <c r="AB10" s="129">
        <f>(800*12)/1.2</f>
        <v>8000</v>
      </c>
      <c r="AC10" s="114">
        <v>8</v>
      </c>
      <c r="AE10" s="112">
        <f>+Z10</f>
        <v>2400</v>
      </c>
      <c r="AF10" s="137">
        <f>+AG10/AB10</f>
        <v>1.2</v>
      </c>
      <c r="AG10" s="129">
        <f>800*12</f>
        <v>9600</v>
      </c>
      <c r="AH10" s="114">
        <v>9.6</v>
      </c>
      <c r="AJ10" s="131" t="s">
        <v>61</v>
      </c>
      <c r="AK10" s="131" t="s">
        <v>73</v>
      </c>
      <c r="AL10" s="131" t="s">
        <v>62</v>
      </c>
      <c r="AO10" s="139" t="s">
        <v>61</v>
      </c>
      <c r="AP10" s="139" t="s">
        <v>73</v>
      </c>
      <c r="AQ10" s="139" t="s">
        <v>62</v>
      </c>
      <c r="AT10" s="139" t="s">
        <v>61</v>
      </c>
      <c r="AU10" s="139" t="s">
        <v>73</v>
      </c>
      <c r="AV10" s="139" t="s">
        <v>62</v>
      </c>
      <c r="AZ10" s="140" t="s">
        <v>61</v>
      </c>
      <c r="BA10" s="140" t="s">
        <v>73</v>
      </c>
      <c r="BB10" s="140" t="s">
        <v>62</v>
      </c>
      <c r="BE10" s="140" t="s">
        <v>61</v>
      </c>
      <c r="BF10" s="140" t="s">
        <v>73</v>
      </c>
      <c r="BG10" s="140" t="s">
        <v>62</v>
      </c>
      <c r="BJ10" s="141" t="s">
        <v>61</v>
      </c>
      <c r="BK10" s="141" t="s">
        <v>73</v>
      </c>
      <c r="BL10" s="141" t="s">
        <v>62</v>
      </c>
      <c r="BO10" s="141" t="s">
        <v>61</v>
      </c>
      <c r="BP10" s="141" t="s">
        <v>73</v>
      </c>
      <c r="BQ10" s="141" t="s">
        <v>62</v>
      </c>
    </row>
    <row r="11" spans="1:70" ht="14.65" x14ac:dyDescent="0.4">
      <c r="A11" s="142" t="s">
        <v>192</v>
      </c>
      <c r="B11" s="133"/>
      <c r="C11" s="134"/>
      <c r="D11" s="134"/>
      <c r="E11" s="135"/>
      <c r="F11" s="134"/>
      <c r="G11" s="134">
        <f t="shared" si="1"/>
        <v>0</v>
      </c>
      <c r="H11" s="134">
        <f t="shared" si="1"/>
        <v>0</v>
      </c>
      <c r="I11" s="134">
        <f t="shared" si="1"/>
        <v>0</v>
      </c>
      <c r="J11" s="134">
        <f t="shared" si="1"/>
        <v>0</v>
      </c>
      <c r="M11" s="312"/>
      <c r="N11" s="312">
        <v>1</v>
      </c>
      <c r="O11" s="312">
        <v>112</v>
      </c>
      <c r="P11" s="312">
        <f>+O11*12</f>
        <v>1344</v>
      </c>
      <c r="Q11" s="315">
        <v>1</v>
      </c>
      <c r="R11" s="320">
        <f>+(X9*P11)/Q11</f>
        <v>0</v>
      </c>
      <c r="S11" s="161">
        <v>5.2</v>
      </c>
      <c r="T11" s="312"/>
      <c r="U11" s="321" t="s">
        <v>97</v>
      </c>
      <c r="V11" s="312"/>
      <c r="W11" s="321"/>
      <c r="X11" s="317"/>
      <c r="Z11" s="112" t="s">
        <v>169</v>
      </c>
      <c r="AC11" s="114">
        <f>+AC6+AC10</f>
        <v>18.59</v>
      </c>
      <c r="AJ11" s="112">
        <f>+Z10</f>
        <v>2400</v>
      </c>
      <c r="AK11" s="124" t="e">
        <f t="shared" ref="AK11:AL11" si="5">+AA10</f>
        <v>#DIV/0!</v>
      </c>
      <c r="AL11" s="112">
        <f t="shared" si="5"/>
        <v>8000</v>
      </c>
      <c r="AM11" s="114">
        <v>9.6</v>
      </c>
      <c r="AO11" s="112">
        <f>+AJ11</f>
        <v>2400</v>
      </c>
      <c r="AP11" s="137">
        <f>+AQ11/AL11</f>
        <v>1.2</v>
      </c>
      <c r="AQ11" s="129">
        <f>800*12</f>
        <v>9600</v>
      </c>
      <c r="AR11" s="114">
        <v>9.6</v>
      </c>
      <c r="AT11" s="112">
        <f>+AO11</f>
        <v>2400</v>
      </c>
      <c r="AU11" s="137">
        <f>+AV11/AQ11</f>
        <v>1</v>
      </c>
      <c r="AV11" s="129">
        <f>800*12</f>
        <v>9600</v>
      </c>
      <c r="AW11" s="114">
        <v>9.6</v>
      </c>
      <c r="AZ11" s="112">
        <f>+AT11</f>
        <v>2400</v>
      </c>
      <c r="BA11" s="137">
        <f>+AU11</f>
        <v>1</v>
      </c>
      <c r="BB11" s="129">
        <f>800*12</f>
        <v>9600</v>
      </c>
      <c r="BC11" s="114">
        <v>9.6</v>
      </c>
      <c r="BE11" s="112">
        <f>+AZ11</f>
        <v>2400</v>
      </c>
      <c r="BF11" s="137">
        <f>+BG11/BB11</f>
        <v>1</v>
      </c>
      <c r="BG11" s="129">
        <f>800*12</f>
        <v>9600</v>
      </c>
      <c r="BH11" s="114">
        <v>9.6</v>
      </c>
      <c r="BJ11" s="112">
        <f>+BE11</f>
        <v>2400</v>
      </c>
      <c r="BK11" s="137">
        <f>+BL11/BG11</f>
        <v>1</v>
      </c>
      <c r="BL11" s="129">
        <f>800*12</f>
        <v>9600</v>
      </c>
      <c r="BM11" s="114">
        <v>9.6</v>
      </c>
      <c r="BO11" s="112">
        <f>+BJ11</f>
        <v>2400</v>
      </c>
      <c r="BP11" s="137">
        <f>+BQ11/BL11</f>
        <v>1</v>
      </c>
      <c r="BQ11" s="129">
        <f>800*12</f>
        <v>9600</v>
      </c>
      <c r="BR11" s="114">
        <v>9.6</v>
      </c>
    </row>
    <row r="12" spans="1:70" x14ac:dyDescent="0.25">
      <c r="A12" s="132" t="s">
        <v>197</v>
      </c>
      <c r="B12" s="124">
        <v>0.5</v>
      </c>
      <c r="C12" s="134"/>
      <c r="D12" s="134">
        <f>+U48</f>
        <v>7.5</v>
      </c>
      <c r="E12" s="135"/>
      <c r="F12" s="144">
        <v>11.554</v>
      </c>
      <c r="G12" s="134">
        <f>F12*(1+$B$12)</f>
        <v>17.331</v>
      </c>
      <c r="H12" s="134">
        <f t="shared" ref="H12:I12" si="6">G12*(1+$B$12)</f>
        <v>25.996499999999997</v>
      </c>
      <c r="I12" s="134">
        <f t="shared" si="6"/>
        <v>38.994749999999996</v>
      </c>
      <c r="J12" s="134">
        <f>I12*(0.5+$B$12)</f>
        <v>38.994749999999996</v>
      </c>
      <c r="N12" s="311" t="s">
        <v>65</v>
      </c>
      <c r="O12" s="311"/>
      <c r="P12" s="311"/>
      <c r="Q12" s="311" t="s">
        <v>54</v>
      </c>
      <c r="R12" s="311"/>
      <c r="S12" s="110"/>
    </row>
    <row r="13" spans="1:70" x14ac:dyDescent="0.25">
      <c r="A13" s="145" t="s">
        <v>206</v>
      </c>
      <c r="B13" s="145"/>
      <c r="C13" s="145"/>
      <c r="D13" s="145"/>
      <c r="E13" s="145"/>
      <c r="F13" s="146">
        <f>+F14/D14-1</f>
        <v>2.9696172248803832</v>
      </c>
      <c r="G13" s="146">
        <f>G14/F14-1</f>
        <v>0.75974507322364815</v>
      </c>
      <c r="H13" s="146">
        <f t="shared" ref="H13:J13" si="7">H14/G14-1</f>
        <v>0.48583762707859246</v>
      </c>
      <c r="I13" s="146">
        <f t="shared" si="7"/>
        <v>0.50072518127915666</v>
      </c>
      <c r="J13" s="146">
        <f t="shared" si="7"/>
        <v>0.43945539454989913</v>
      </c>
      <c r="N13" s="276" t="s">
        <v>63</v>
      </c>
      <c r="O13" s="278"/>
      <c r="P13" s="128" t="s">
        <v>64</v>
      </c>
      <c r="Q13" s="128" t="s">
        <v>73</v>
      </c>
      <c r="R13" s="128" t="s">
        <v>69</v>
      </c>
      <c r="S13" s="110"/>
      <c r="Z13" s="279" t="s">
        <v>75</v>
      </c>
      <c r="AA13" s="291"/>
      <c r="AB13" s="292"/>
      <c r="AE13" s="282" t="s">
        <v>77</v>
      </c>
      <c r="AF13" s="293"/>
      <c r="AG13" s="294"/>
    </row>
    <row r="14" spans="1:70" x14ac:dyDescent="0.25">
      <c r="A14" s="147" t="s">
        <v>0</v>
      </c>
      <c r="B14" s="148"/>
      <c r="C14" s="134"/>
      <c r="D14" s="149">
        <f>D6+D8+D10+D12</f>
        <v>20.9</v>
      </c>
      <c r="E14" s="150"/>
      <c r="F14" s="151">
        <f>F6+F8+F10+F12</f>
        <v>82.965000000000003</v>
      </c>
      <c r="G14" s="151">
        <f>+G6+G8+G10+G12</f>
        <v>145.99724999999998</v>
      </c>
      <c r="H14" s="151">
        <f>+H6+H7+H8+H9+H10+H11+H12</f>
        <v>216.92820750000001</v>
      </c>
      <c r="I14" s="149">
        <f>+I6+I7+I8+I9+I10+I11+I12</f>
        <v>325.54962352500002</v>
      </c>
      <c r="J14" s="149">
        <f>+J6+J7+J8+J9+J10+J11+J12</f>
        <v>468.61416177675</v>
      </c>
      <c r="N14" s="295">
        <v>170</v>
      </c>
      <c r="O14" s="296"/>
      <c r="P14" s="152">
        <f>+($N$14*41.58)*12</f>
        <v>84823.2</v>
      </c>
      <c r="Q14" s="153">
        <v>0</v>
      </c>
      <c r="R14" s="154">
        <f>+Q14*P14</f>
        <v>0</v>
      </c>
      <c r="S14" s="114"/>
      <c r="Z14" s="130" t="s">
        <v>71</v>
      </c>
      <c r="AA14" s="130" t="s">
        <v>72</v>
      </c>
      <c r="AB14" s="155" t="s">
        <v>62</v>
      </c>
      <c r="AE14" s="131" t="s">
        <v>71</v>
      </c>
      <c r="AF14" s="131" t="s">
        <v>72</v>
      </c>
      <c r="AG14" s="156" t="s">
        <v>62</v>
      </c>
      <c r="AO14" s="285" t="s">
        <v>79</v>
      </c>
      <c r="AP14" s="297"/>
      <c r="AQ14" s="298"/>
      <c r="AZ14" s="301" t="s">
        <v>81</v>
      </c>
      <c r="BA14" s="301"/>
      <c r="BB14" s="301"/>
      <c r="BJ14" s="299" t="s">
        <v>160</v>
      </c>
      <c r="BK14" s="299"/>
      <c r="BL14" s="299"/>
    </row>
    <row r="15" spans="1:70" ht="14.65" x14ac:dyDescent="0.4">
      <c r="A15" s="143" t="s">
        <v>173</v>
      </c>
      <c r="B15" s="133">
        <v>0.02</v>
      </c>
      <c r="C15" s="134"/>
      <c r="D15" s="134">
        <v>52.9</v>
      </c>
      <c r="E15" s="135"/>
      <c r="F15" s="134">
        <v>43.332000000000001</v>
      </c>
      <c r="G15" s="134">
        <f>F15*(1+$B$15)</f>
        <v>44.198640000000005</v>
      </c>
      <c r="H15" s="134">
        <f t="shared" ref="H15:J15" si="8">G15*(1+$B$15)</f>
        <v>45.082612800000007</v>
      </c>
      <c r="I15" s="134">
        <f t="shared" si="8"/>
        <v>45.984265056000005</v>
      </c>
      <c r="J15" s="134">
        <f t="shared" si="8"/>
        <v>46.903950357120003</v>
      </c>
      <c r="N15" s="157"/>
      <c r="O15" s="157"/>
      <c r="P15" s="158"/>
      <c r="Q15" s="159"/>
      <c r="R15" s="160"/>
      <c r="S15" s="161"/>
      <c r="Z15" s="130"/>
      <c r="AA15" s="130"/>
      <c r="AB15" s="155"/>
      <c r="AE15" s="131"/>
      <c r="AF15" s="131"/>
      <c r="AG15" s="156"/>
      <c r="AO15" s="162"/>
      <c r="AP15" s="163"/>
      <c r="AQ15" s="164"/>
      <c r="AZ15" s="165"/>
      <c r="BA15" s="165"/>
      <c r="BB15" s="165"/>
      <c r="BJ15" s="166"/>
      <c r="BK15" s="166"/>
      <c r="BL15" s="166"/>
    </row>
    <row r="16" spans="1:70" x14ac:dyDescent="0.25">
      <c r="A16" s="143" t="s">
        <v>175</v>
      </c>
      <c r="B16" s="133">
        <v>0.02</v>
      </c>
      <c r="C16" s="134"/>
      <c r="D16" s="134">
        <v>11.14</v>
      </c>
      <c r="E16" s="135"/>
      <c r="F16" s="134">
        <f>D16*(1+$B$16)</f>
        <v>11.3628</v>
      </c>
      <c r="G16" s="134">
        <f>F16*(1+$B$16)</f>
        <v>11.590056000000001</v>
      </c>
      <c r="H16" s="134">
        <v>25</v>
      </c>
      <c r="I16" s="134">
        <v>35</v>
      </c>
      <c r="J16" s="134">
        <v>55</v>
      </c>
      <c r="Z16" s="167">
        <f>+$P$48*$Q$48</f>
        <v>34650</v>
      </c>
      <c r="AA16" s="168">
        <f>+AB16/Z16</f>
        <v>0.30014430014430016</v>
      </c>
      <c r="AB16" s="129">
        <v>10400</v>
      </c>
      <c r="AC16" s="114">
        <v>10.4</v>
      </c>
      <c r="AE16" s="167">
        <f>+$P$48*$Q$48</f>
        <v>34650</v>
      </c>
      <c r="AF16" s="168">
        <f>+AG16/AE16</f>
        <v>1.184935064935065</v>
      </c>
      <c r="AG16" s="129">
        <v>41058</v>
      </c>
      <c r="AH16" s="114">
        <v>41.58</v>
      </c>
      <c r="AO16" s="139" t="s">
        <v>71</v>
      </c>
      <c r="AP16" s="139" t="s">
        <v>72</v>
      </c>
      <c r="AQ16" s="169" t="s">
        <v>62</v>
      </c>
      <c r="AZ16" s="140" t="s">
        <v>71</v>
      </c>
      <c r="BA16" s="140" t="s">
        <v>72</v>
      </c>
      <c r="BB16" s="170" t="s">
        <v>62</v>
      </c>
      <c r="BJ16" s="141" t="s">
        <v>71</v>
      </c>
      <c r="BK16" s="141" t="s">
        <v>72</v>
      </c>
      <c r="BL16" s="171" t="s">
        <v>62</v>
      </c>
    </row>
    <row r="17" spans="1:70" ht="14.65" x14ac:dyDescent="0.4">
      <c r="A17" s="143" t="s">
        <v>174</v>
      </c>
      <c r="B17" s="133">
        <v>0.02</v>
      </c>
      <c r="C17" s="134"/>
      <c r="D17" s="134">
        <v>0.9</v>
      </c>
      <c r="E17" s="135"/>
      <c r="F17" s="134">
        <v>0</v>
      </c>
      <c r="G17" s="134">
        <f>F17*(1+$B$17)</f>
        <v>0</v>
      </c>
      <c r="H17" s="134">
        <f t="shared" ref="H17:J17" si="9">G17*(1+$B$17)</f>
        <v>0</v>
      </c>
      <c r="I17" s="134">
        <f t="shared" si="9"/>
        <v>0</v>
      </c>
      <c r="J17" s="134">
        <f t="shared" si="9"/>
        <v>0</v>
      </c>
      <c r="N17" s="268" t="s">
        <v>4</v>
      </c>
      <c r="O17" s="268"/>
      <c r="P17" s="268"/>
      <c r="AO17" s="167">
        <f>+$P$48*$Q$48</f>
        <v>34650</v>
      </c>
      <c r="AP17" s="168">
        <f>+AQ17/AO17</f>
        <v>1.184935064935065</v>
      </c>
      <c r="AQ17" s="129">
        <v>41058</v>
      </c>
      <c r="AR17" s="114">
        <v>41.58</v>
      </c>
      <c r="AZ17" s="167">
        <f>+$P$48*$Q$48</f>
        <v>34650</v>
      </c>
      <c r="BA17" s="168">
        <f>+BB17/AZ17</f>
        <v>1.184935064935065</v>
      </c>
      <c r="BB17" s="129">
        <v>41058</v>
      </c>
      <c r="BC17" s="114">
        <v>41.58</v>
      </c>
      <c r="BJ17" s="167">
        <f>+$P$48*$Q$48</f>
        <v>34650</v>
      </c>
      <c r="BK17" s="168">
        <f>+BL17/BJ17</f>
        <v>1.184935064935065</v>
      </c>
      <c r="BL17" s="129">
        <v>41058</v>
      </c>
      <c r="BM17" s="114">
        <v>41.58</v>
      </c>
    </row>
    <row r="18" spans="1:70" x14ac:dyDescent="0.25">
      <c r="A18" s="143" t="s">
        <v>170</v>
      </c>
      <c r="B18" s="133">
        <v>0.02</v>
      </c>
      <c r="C18" s="134"/>
      <c r="D18" s="134">
        <v>3</v>
      </c>
      <c r="E18" s="135"/>
      <c r="F18" s="134">
        <v>4.43</v>
      </c>
      <c r="G18" s="134">
        <f>F18*(1+$B$18)</f>
        <v>4.5186000000000002</v>
      </c>
      <c r="H18" s="134">
        <f>G18*(1+$B$18)</f>
        <v>4.6089720000000005</v>
      </c>
      <c r="I18" s="134">
        <f>H18*(1+$B$18)</f>
        <v>4.7011514400000003</v>
      </c>
      <c r="J18" s="134">
        <f>I18*(1+$B$18)</f>
        <v>4.7951744688</v>
      </c>
      <c r="N18" s="128" t="s">
        <v>1</v>
      </c>
      <c r="O18" s="128" t="s">
        <v>5</v>
      </c>
      <c r="P18" s="128" t="s">
        <v>6</v>
      </c>
    </row>
    <row r="19" spans="1:70" x14ac:dyDescent="0.25">
      <c r="A19" s="143" t="s">
        <v>209</v>
      </c>
      <c r="B19" s="133">
        <v>0.02</v>
      </c>
      <c r="C19" s="134"/>
      <c r="D19" s="134">
        <v>13.1</v>
      </c>
      <c r="E19" s="135"/>
      <c r="F19" s="134">
        <v>28.484999999999999</v>
      </c>
      <c r="G19" s="134">
        <v>30</v>
      </c>
      <c r="H19" s="134">
        <v>30</v>
      </c>
      <c r="I19" s="134">
        <v>40</v>
      </c>
      <c r="J19" s="134">
        <v>41</v>
      </c>
      <c r="N19" s="153">
        <v>0.05</v>
      </c>
      <c r="O19" s="136">
        <v>400000</v>
      </c>
      <c r="P19" s="112">
        <f>O19*N19</f>
        <v>20000</v>
      </c>
      <c r="Z19" s="267" t="s">
        <v>163</v>
      </c>
      <c r="AA19" s="267"/>
      <c r="AB19" s="267"/>
    </row>
    <row r="20" spans="1:70" x14ac:dyDescent="0.25">
      <c r="A20" s="143" t="s">
        <v>193</v>
      </c>
      <c r="B20" s="133">
        <v>0.02</v>
      </c>
      <c r="C20" s="134"/>
      <c r="D20" s="134"/>
      <c r="E20" s="135"/>
      <c r="F20" s="134"/>
      <c r="G20" s="134">
        <v>25</v>
      </c>
      <c r="H20" s="134">
        <v>40</v>
      </c>
      <c r="I20" s="134">
        <f t="shared" ref="I20:J20" si="10">H20*(1+$B$20)</f>
        <v>40.799999999999997</v>
      </c>
      <c r="J20" s="134">
        <f t="shared" si="10"/>
        <v>41.616</v>
      </c>
      <c r="Z20" s="279" t="s">
        <v>76</v>
      </c>
      <c r="AA20" s="280"/>
      <c r="AB20" s="281"/>
      <c r="AE20" s="282" t="s">
        <v>78</v>
      </c>
      <c r="AF20" s="283"/>
      <c r="AG20" s="284"/>
    </row>
    <row r="21" spans="1:70" x14ac:dyDescent="0.25">
      <c r="A21" s="143" t="s">
        <v>171</v>
      </c>
      <c r="B21" s="133">
        <v>0.02</v>
      </c>
      <c r="C21" s="134"/>
      <c r="D21" s="134">
        <v>11</v>
      </c>
      <c r="E21" s="135"/>
      <c r="F21" s="134">
        <v>11.4</v>
      </c>
      <c r="G21" s="134">
        <f>F21*(0.8+$B$21)</f>
        <v>9.3480000000000008</v>
      </c>
      <c r="H21" s="134">
        <f t="shared" ref="H21:J21" si="11">G21*(0.8+$B$21)</f>
        <v>7.6653600000000015</v>
      </c>
      <c r="I21" s="134">
        <f t="shared" si="11"/>
        <v>6.2855952000000013</v>
      </c>
      <c r="J21" s="134">
        <f t="shared" si="11"/>
        <v>5.1541880640000013</v>
      </c>
      <c r="Z21" s="130" t="s">
        <v>64</v>
      </c>
      <c r="AA21" s="130" t="s">
        <v>73</v>
      </c>
      <c r="AB21" s="130" t="s">
        <v>69</v>
      </c>
      <c r="AE21" s="131" t="s">
        <v>64</v>
      </c>
      <c r="AF21" s="131" t="s">
        <v>73</v>
      </c>
      <c r="AG21" s="131" t="s">
        <v>69</v>
      </c>
      <c r="AJ21" s="282" t="s">
        <v>78</v>
      </c>
      <c r="AK21" s="283"/>
      <c r="AL21" s="284"/>
      <c r="AO21" s="300" t="s">
        <v>80</v>
      </c>
      <c r="AP21" s="300"/>
      <c r="AQ21" s="300"/>
      <c r="AT21" s="300" t="s">
        <v>80</v>
      </c>
      <c r="AU21" s="300"/>
      <c r="AV21" s="300"/>
      <c r="AZ21" s="301" t="s">
        <v>82</v>
      </c>
      <c r="BA21" s="301"/>
      <c r="BB21" s="301"/>
      <c r="BE21" s="301" t="s">
        <v>82</v>
      </c>
      <c r="BF21" s="301"/>
      <c r="BG21" s="301"/>
      <c r="BJ21" s="299" t="s">
        <v>161</v>
      </c>
      <c r="BK21" s="299"/>
      <c r="BL21" s="299"/>
      <c r="BO21" s="299" t="s">
        <v>161</v>
      </c>
      <c r="BP21" s="299"/>
      <c r="BQ21" s="299"/>
    </row>
    <row r="22" spans="1:70" x14ac:dyDescent="0.25">
      <c r="A22" s="143" t="s">
        <v>182</v>
      </c>
      <c r="B22" s="133">
        <v>0.02</v>
      </c>
      <c r="C22" s="134"/>
      <c r="D22" s="134">
        <v>13</v>
      </c>
      <c r="E22" s="135"/>
      <c r="F22" s="134">
        <v>5.7329999999999997</v>
      </c>
      <c r="G22" s="134">
        <f>F22*(3+$B$22)</f>
        <v>17.313659999999999</v>
      </c>
      <c r="H22" s="134">
        <f>G22*(1+$B$22)</f>
        <v>17.659933199999998</v>
      </c>
      <c r="I22" s="134">
        <f>H22*(1+$B$22)</f>
        <v>18.013131863999998</v>
      </c>
      <c r="J22" s="134">
        <f>I22*(1+$B$22)</f>
        <v>18.37339450128</v>
      </c>
      <c r="Z22" s="152">
        <v>84830</v>
      </c>
      <c r="AA22" s="137">
        <f>+AB22/Z22</f>
        <v>0.14980549333962043</v>
      </c>
      <c r="AB22" s="129">
        <v>12708</v>
      </c>
      <c r="AC22" s="114">
        <v>12.97</v>
      </c>
      <c r="AE22" s="152">
        <f>+($N$14*49.9)*12</f>
        <v>101796</v>
      </c>
      <c r="AF22" s="137">
        <f>+AG22/AE22</f>
        <v>0.69772879091516371</v>
      </c>
      <c r="AG22" s="129">
        <v>71026</v>
      </c>
      <c r="AH22" s="114">
        <v>71.260000000000005</v>
      </c>
      <c r="AJ22" s="131" t="s">
        <v>64</v>
      </c>
      <c r="AK22" s="131" t="s">
        <v>73</v>
      </c>
      <c r="AL22" s="131" t="s">
        <v>69</v>
      </c>
      <c r="AO22" s="139" t="s">
        <v>64</v>
      </c>
      <c r="AP22" s="139" t="s">
        <v>73</v>
      </c>
      <c r="AQ22" s="139" t="s">
        <v>69</v>
      </c>
      <c r="AT22" s="139" t="s">
        <v>64</v>
      </c>
      <c r="AU22" s="139" t="s">
        <v>73</v>
      </c>
      <c r="AV22" s="139" t="s">
        <v>69</v>
      </c>
      <c r="AZ22" s="140" t="s">
        <v>64</v>
      </c>
      <c r="BA22" s="140" t="s">
        <v>73</v>
      </c>
      <c r="BB22" s="140" t="s">
        <v>69</v>
      </c>
      <c r="BE22" s="140" t="s">
        <v>64</v>
      </c>
      <c r="BF22" s="140" t="s">
        <v>73</v>
      </c>
      <c r="BG22" s="140" t="s">
        <v>69</v>
      </c>
      <c r="BJ22" s="141" t="s">
        <v>64</v>
      </c>
      <c r="BK22" s="141" t="s">
        <v>73</v>
      </c>
      <c r="BL22" s="141" t="s">
        <v>69</v>
      </c>
      <c r="BO22" s="141" t="s">
        <v>64</v>
      </c>
      <c r="BP22" s="141" t="s">
        <v>73</v>
      </c>
      <c r="BQ22" s="141" t="s">
        <v>69</v>
      </c>
    </row>
    <row r="23" spans="1:70" ht="14.65" x14ac:dyDescent="0.4">
      <c r="A23" s="143" t="s">
        <v>181</v>
      </c>
      <c r="B23" s="133">
        <v>0.02</v>
      </c>
      <c r="C23" s="134"/>
      <c r="D23" s="134">
        <v>1.1000000000000001</v>
      </c>
      <c r="E23" s="135"/>
      <c r="F23" s="134">
        <v>1.2</v>
      </c>
      <c r="G23" s="134">
        <f>F23*(1+$B$23)</f>
        <v>1.224</v>
      </c>
      <c r="H23" s="134">
        <f t="shared" ref="H23:J23" si="12">G23*(1+$B$23)</f>
        <v>1.24848</v>
      </c>
      <c r="I23" s="134">
        <f t="shared" si="12"/>
        <v>1.2734496</v>
      </c>
      <c r="J23" s="134">
        <f t="shared" si="12"/>
        <v>1.2989185919999999</v>
      </c>
      <c r="AJ23" s="152">
        <f>+($N$14*49.9)*12</f>
        <v>101796</v>
      </c>
      <c r="AK23" s="137">
        <f>+AL23/AJ23</f>
        <v>0.39365004518841606</v>
      </c>
      <c r="AL23" s="129">
        <v>40072</v>
      </c>
      <c r="AM23" s="114">
        <v>40.72</v>
      </c>
      <c r="AO23" s="152">
        <f>+($N$14*49.9)*12</f>
        <v>101796</v>
      </c>
      <c r="AP23" s="137">
        <f>+AQ23/AO23</f>
        <v>0.99296632480647573</v>
      </c>
      <c r="AQ23" s="129">
        <v>101080</v>
      </c>
      <c r="AR23" s="114">
        <v>101.8</v>
      </c>
      <c r="AT23" s="152">
        <f>+($N$14*49.9)*12</f>
        <v>101796</v>
      </c>
      <c r="AU23" s="137">
        <f>+AV23/AT23</f>
        <v>0.69772879091516371</v>
      </c>
      <c r="AV23" s="129">
        <v>71026</v>
      </c>
      <c r="AW23" s="114">
        <v>71.260000000000005</v>
      </c>
      <c r="AZ23" s="152">
        <f>+($N$14*49.9)*12</f>
        <v>101796</v>
      </c>
      <c r="BA23" s="137">
        <f>+BB23/AZ23</f>
        <v>1.8867047821132461</v>
      </c>
      <c r="BB23" s="129">
        <v>192059</v>
      </c>
      <c r="BC23" s="114">
        <v>192.59</v>
      </c>
      <c r="BE23" s="152">
        <f>+($N$14*49.9)*12</f>
        <v>101796</v>
      </c>
      <c r="BF23" s="137">
        <f>+BG23/BE23</f>
        <v>0.99296632480647573</v>
      </c>
      <c r="BG23" s="129">
        <v>101080</v>
      </c>
      <c r="BH23" s="114">
        <v>101.8</v>
      </c>
      <c r="BJ23" s="152">
        <f>+($N$14*49.9)*12</f>
        <v>101796</v>
      </c>
      <c r="BK23" s="137">
        <f>+BL23/BJ23</f>
        <v>1.8867047821132461</v>
      </c>
      <c r="BL23" s="129">
        <v>192059</v>
      </c>
      <c r="BM23" s="114">
        <v>192.59</v>
      </c>
      <c r="BO23" s="152">
        <f>+($N$14*49.9)*12</f>
        <v>101796</v>
      </c>
      <c r="BP23" s="137">
        <f>+BQ23/BO23</f>
        <v>0.88490706904004091</v>
      </c>
      <c r="BQ23" s="129">
        <v>90080</v>
      </c>
      <c r="BR23" s="114">
        <v>90.8</v>
      </c>
    </row>
    <row r="24" spans="1:70" ht="14.65" x14ac:dyDescent="0.4">
      <c r="A24" s="143" t="s">
        <v>59</v>
      </c>
      <c r="B24" s="133">
        <v>1.2E-2</v>
      </c>
      <c r="C24" s="134">
        <v>10</v>
      </c>
      <c r="D24" s="134"/>
      <c r="E24" s="135"/>
      <c r="F24" s="134"/>
      <c r="G24" s="134">
        <f>C24*(1+$B$24)</f>
        <v>10.120000000000001</v>
      </c>
      <c r="H24" s="134">
        <f>G24*(1+$B$24)</f>
        <v>10.241440000000001</v>
      </c>
      <c r="I24" s="134">
        <f>H24*(1+$B$24)</f>
        <v>10.364337280000001</v>
      </c>
      <c r="J24" s="134">
        <f>I24*(1+$B$24)</f>
        <v>10.488709327360001</v>
      </c>
    </row>
    <row r="25" spans="1:70" x14ac:dyDescent="0.25">
      <c r="A25" s="143" t="s">
        <v>180</v>
      </c>
      <c r="B25" s="133">
        <v>0.02</v>
      </c>
      <c r="C25" s="134"/>
      <c r="D25" s="144">
        <v>0.5</v>
      </c>
      <c r="E25" s="135"/>
      <c r="F25" s="134">
        <f>D25*(1+$B$25)</f>
        <v>0.51</v>
      </c>
      <c r="G25" s="134">
        <f t="shared" ref="G25:J25" si="13">E25*(1+$B$25)</f>
        <v>0</v>
      </c>
      <c r="H25" s="134">
        <f t="shared" si="13"/>
        <v>0.5202</v>
      </c>
      <c r="I25" s="134">
        <f t="shared" si="13"/>
        <v>0</v>
      </c>
      <c r="J25" s="134">
        <f t="shared" si="13"/>
        <v>0.53060399999999996</v>
      </c>
      <c r="N25" s="268" t="s">
        <v>105</v>
      </c>
      <c r="O25" s="268"/>
      <c r="P25" s="276" t="s">
        <v>54</v>
      </c>
      <c r="Q25" s="277"/>
      <c r="R25" s="278"/>
      <c r="Z25" s="155" t="s">
        <v>83</v>
      </c>
      <c r="AA25" s="172">
        <f>+AA26/P27</f>
        <v>0.3147622053872054</v>
      </c>
      <c r="AB25" s="173" t="s">
        <v>196</v>
      </c>
      <c r="AE25" s="156" t="s">
        <v>83</v>
      </c>
      <c r="AF25" s="172">
        <f>+AF26/P27</f>
        <v>0.65561868686868685</v>
      </c>
      <c r="AN25" s="174"/>
      <c r="AS25" s="174"/>
      <c r="AX25" s="174"/>
    </row>
    <row r="26" spans="1:70" x14ac:dyDescent="0.25">
      <c r="A26" s="143" t="s">
        <v>194</v>
      </c>
      <c r="B26" s="133">
        <v>0.02</v>
      </c>
      <c r="C26" s="134">
        <v>3</v>
      </c>
      <c r="D26" s="134"/>
      <c r="E26" s="135"/>
      <c r="F26" s="134">
        <v>1.365</v>
      </c>
      <c r="G26" s="134">
        <f>C26*(1+$B$26)</f>
        <v>3.06</v>
      </c>
      <c r="H26" s="134">
        <f>G26*(1+$B$26)</f>
        <v>3.1212</v>
      </c>
      <c r="I26" s="134">
        <f>H26*(1+$B$26)</f>
        <v>3.183624</v>
      </c>
      <c r="J26" s="134">
        <f>I26*(1+$B$26)</f>
        <v>3.2472964800000002</v>
      </c>
      <c r="N26" s="128" t="s">
        <v>3</v>
      </c>
      <c r="O26" s="128" t="s">
        <v>60</v>
      </c>
      <c r="P26" s="128" t="s">
        <v>89</v>
      </c>
      <c r="Q26" s="128" t="s">
        <v>68</v>
      </c>
      <c r="R26" s="128" t="s">
        <v>62</v>
      </c>
      <c r="Z26" s="155" t="s">
        <v>108</v>
      </c>
      <c r="AA26" s="112">
        <v>5983</v>
      </c>
      <c r="AE26" s="156" t="s">
        <v>108</v>
      </c>
      <c r="AF26" s="112">
        <v>12462</v>
      </c>
      <c r="AJ26" s="156" t="s">
        <v>83</v>
      </c>
      <c r="AK26" s="172">
        <f>AA25</f>
        <v>0.3147622053872054</v>
      </c>
      <c r="AO26" s="169" t="s">
        <v>83</v>
      </c>
      <c r="AP26" s="172">
        <f>+AP27/P27</f>
        <v>0.83080808080808077</v>
      </c>
      <c r="AT26" s="169" t="s">
        <v>83</v>
      </c>
      <c r="AU26" s="172">
        <f>+AU27/P27</f>
        <v>0.65561868686868685</v>
      </c>
      <c r="AZ26" s="170" t="s">
        <v>83</v>
      </c>
      <c r="BA26" s="172">
        <f>+BA27/$P$27</f>
        <v>1.1783459595959596</v>
      </c>
      <c r="BE26" s="170" t="s">
        <v>83</v>
      </c>
      <c r="BF26" s="172">
        <f>+BF27/P27</f>
        <v>0.83080808080808077</v>
      </c>
      <c r="BJ26" s="171" t="s">
        <v>83</v>
      </c>
      <c r="BK26" s="172">
        <f>+BK27/$P$27</f>
        <v>1.0731271043771045</v>
      </c>
      <c r="BO26" s="171" t="s">
        <v>83</v>
      </c>
      <c r="BP26" s="172">
        <f>+BP27/P27</f>
        <v>0.83080808080808077</v>
      </c>
    </row>
    <row r="27" spans="1:70" ht="14.65" x14ac:dyDescent="0.4">
      <c r="A27" s="143" t="s">
        <v>176</v>
      </c>
      <c r="B27" s="133">
        <v>0.02</v>
      </c>
      <c r="C27" s="134"/>
      <c r="D27" s="175"/>
      <c r="E27" s="176"/>
      <c r="F27" s="177"/>
      <c r="G27" s="178">
        <v>10</v>
      </c>
      <c r="H27" s="178">
        <v>10</v>
      </c>
      <c r="I27" s="179">
        <v>20</v>
      </c>
      <c r="J27" s="179">
        <v>30</v>
      </c>
      <c r="N27" s="136">
        <v>8</v>
      </c>
      <c r="O27" s="180">
        <f>+($N$27*9*6)*4</f>
        <v>1728</v>
      </c>
      <c r="P27" s="112">
        <f>+$O$27*11</f>
        <v>19008</v>
      </c>
      <c r="Q27" s="181">
        <f>+R27/P27</f>
        <v>4.3139730639730637E-4</v>
      </c>
      <c r="R27" s="182">
        <v>8.1999999999999993</v>
      </c>
      <c r="AJ27" s="156" t="s">
        <v>108</v>
      </c>
      <c r="AK27" s="112">
        <v>5983</v>
      </c>
      <c r="AO27" s="169" t="s">
        <v>108</v>
      </c>
      <c r="AP27" s="112">
        <v>15792</v>
      </c>
      <c r="AT27" s="169" t="s">
        <v>108</v>
      </c>
      <c r="AU27" s="112">
        <v>12462</v>
      </c>
      <c r="AZ27" s="170" t="s">
        <v>108</v>
      </c>
      <c r="BA27" s="112">
        <v>22398</v>
      </c>
      <c r="BE27" s="170" t="s">
        <v>108</v>
      </c>
      <c r="BF27" s="112">
        <v>15792</v>
      </c>
      <c r="BJ27" s="171" t="s">
        <v>108</v>
      </c>
      <c r="BK27" s="112">
        <v>20398</v>
      </c>
      <c r="BO27" s="171" t="s">
        <v>108</v>
      </c>
      <c r="BP27" s="112">
        <v>15792</v>
      </c>
    </row>
    <row r="28" spans="1:70" ht="14.65" x14ac:dyDescent="0.4">
      <c r="A28" s="143" t="s">
        <v>42</v>
      </c>
      <c r="B28" s="136">
        <v>5</v>
      </c>
      <c r="C28" s="134"/>
      <c r="D28" s="183">
        <v>2.8</v>
      </c>
      <c r="E28" s="135"/>
      <c r="F28" s="134">
        <v>2.8</v>
      </c>
      <c r="G28" s="134">
        <f>F61/$B$28</f>
        <v>-0.55999999999999994</v>
      </c>
      <c r="H28" s="134">
        <f>G61/$B$28</f>
        <v>9.5520000000000014</v>
      </c>
      <c r="I28" s="134">
        <f>H61/$B$28</f>
        <v>7.6416000000000013</v>
      </c>
      <c r="J28" s="134">
        <f>I61/$B$28</f>
        <v>6.1132800000000014</v>
      </c>
    </row>
    <row r="29" spans="1:70" ht="14.65" x14ac:dyDescent="0.4">
      <c r="A29" s="143" t="s">
        <v>43</v>
      </c>
      <c r="B29" s="136">
        <v>5</v>
      </c>
      <c r="C29" s="134"/>
      <c r="D29" s="183">
        <v>5.4</v>
      </c>
      <c r="E29" s="135"/>
      <c r="F29" s="134">
        <v>5.4</v>
      </c>
      <c r="G29" s="134">
        <v>2</v>
      </c>
      <c r="H29" s="134">
        <v>0.4</v>
      </c>
      <c r="I29" s="134"/>
      <c r="J29" s="134"/>
      <c r="P29" s="302" t="s">
        <v>168</v>
      </c>
      <c r="Q29" s="303"/>
    </row>
    <row r="30" spans="1:70" ht="14.65" x14ac:dyDescent="0.4">
      <c r="A30" s="143" t="s">
        <v>179</v>
      </c>
      <c r="B30" s="184">
        <f>+SUM(D15:D31)</f>
        <v>125.83999999999999</v>
      </c>
      <c r="C30" s="184"/>
      <c r="D30" s="134"/>
      <c r="E30" s="135"/>
      <c r="F30" s="177"/>
      <c r="G30" s="177"/>
      <c r="H30" s="177"/>
      <c r="I30" s="177"/>
      <c r="J30" s="177"/>
      <c r="P30" s="185"/>
      <c r="Q30" s="186"/>
    </row>
    <row r="31" spans="1:70" x14ac:dyDescent="0.25">
      <c r="A31" s="143" t="s">
        <v>208</v>
      </c>
      <c r="B31" s="184"/>
      <c r="C31" s="184"/>
      <c r="D31" s="134">
        <v>11</v>
      </c>
      <c r="E31" s="135"/>
      <c r="F31" s="134">
        <v>2.754</v>
      </c>
      <c r="G31" s="134">
        <v>2.754</v>
      </c>
      <c r="H31" s="134">
        <v>2.754</v>
      </c>
      <c r="I31" s="134">
        <v>2.754</v>
      </c>
      <c r="J31" s="134">
        <v>2.754</v>
      </c>
      <c r="P31" s="123" t="s">
        <v>91</v>
      </c>
      <c r="Q31" s="124">
        <v>1</v>
      </c>
    </row>
    <row r="32" spans="1:70" ht="14.65" x14ac:dyDescent="0.4">
      <c r="A32" s="187" t="s">
        <v>8</v>
      </c>
      <c r="B32" s="188"/>
      <c r="C32" s="188"/>
      <c r="D32" s="189">
        <f t="shared" ref="D32" si="14">+D14-SUM(D15:D31)</f>
        <v>-104.94</v>
      </c>
      <c r="E32" s="150"/>
      <c r="F32" s="188">
        <f>+F14-SUM(F15:F30)</f>
        <v>-33.052800000000019</v>
      </c>
      <c r="G32" s="188">
        <f t="shared" ref="G32:J32" si="15">+G14-SUM(G15:G30)</f>
        <v>-21.815706000000006</v>
      </c>
      <c r="H32" s="188">
        <f t="shared" si="15"/>
        <v>11.828009500000064</v>
      </c>
      <c r="I32" s="188">
        <f t="shared" si="15"/>
        <v>92.302469085000013</v>
      </c>
      <c r="J32" s="188">
        <f t="shared" si="15"/>
        <v>204.09264598619001</v>
      </c>
      <c r="L32" s="190"/>
      <c r="P32" s="112" t="s">
        <v>90</v>
      </c>
      <c r="Q32" s="129">
        <v>15</v>
      </c>
      <c r="Z32" s="279" t="s">
        <v>104</v>
      </c>
      <c r="AA32" s="280"/>
      <c r="AB32" s="281"/>
      <c r="AE32" s="282" t="s">
        <v>111</v>
      </c>
      <c r="AF32" s="283"/>
      <c r="AG32" s="284"/>
    </row>
    <row r="33" spans="1:70" x14ac:dyDescent="0.25">
      <c r="A33" s="187" t="s">
        <v>18</v>
      </c>
      <c r="B33" s="127"/>
      <c r="C33" s="191"/>
      <c r="D33" s="191">
        <f t="shared" ref="D33:J33" si="16">D32/D14</f>
        <v>-5.0210526315789474</v>
      </c>
      <c r="E33" s="192"/>
      <c r="F33" s="191">
        <f t="shared" si="16"/>
        <v>-0.39839450370638241</v>
      </c>
      <c r="G33" s="191">
        <f t="shared" si="16"/>
        <v>-0.14942545835623622</v>
      </c>
      <c r="H33" s="191">
        <f t="shared" si="16"/>
        <v>5.4524995325930879E-2</v>
      </c>
      <c r="I33" s="191">
        <f t="shared" si="16"/>
        <v>0.28352810881967372</v>
      </c>
      <c r="J33" s="218">
        <f t="shared" si="16"/>
        <v>0.4355238544485574</v>
      </c>
      <c r="P33" s="112" t="s">
        <v>92</v>
      </c>
      <c r="Q33" s="129">
        <f>+(Q32*P27)*Q31</f>
        <v>285120</v>
      </c>
      <c r="Z33" s="130" t="s">
        <v>61</v>
      </c>
      <c r="AA33" s="130" t="s">
        <v>68</v>
      </c>
      <c r="AB33" s="130" t="s">
        <v>62</v>
      </c>
      <c r="AE33" s="131" t="s">
        <v>61</v>
      </c>
      <c r="AF33" s="131" t="s">
        <v>68</v>
      </c>
      <c r="AG33" s="131" t="s">
        <v>62</v>
      </c>
      <c r="AJ33" s="282" t="s">
        <v>111</v>
      </c>
      <c r="AK33" s="283"/>
      <c r="AL33" s="284"/>
      <c r="AO33" s="285" t="s">
        <v>118</v>
      </c>
      <c r="AP33" s="286"/>
      <c r="AQ33" s="287"/>
      <c r="AT33" s="285" t="s">
        <v>118</v>
      </c>
      <c r="AU33" s="286"/>
      <c r="AV33" s="287"/>
      <c r="AZ33" s="288" t="s">
        <v>156</v>
      </c>
      <c r="BA33" s="289"/>
      <c r="BB33" s="290"/>
      <c r="BE33" s="288" t="s">
        <v>156</v>
      </c>
      <c r="BF33" s="289"/>
      <c r="BG33" s="290"/>
      <c r="BJ33" s="269" t="s">
        <v>162</v>
      </c>
      <c r="BK33" s="270"/>
      <c r="BL33" s="271"/>
      <c r="BO33" s="269" t="s">
        <v>162</v>
      </c>
      <c r="BP33" s="270"/>
      <c r="BQ33" s="271"/>
    </row>
    <row r="34" spans="1:70" ht="14.65" x14ac:dyDescent="0.4">
      <c r="A34" s="143" t="s">
        <v>9</v>
      </c>
      <c r="B34" s="112"/>
      <c r="C34" s="184"/>
      <c r="D34" s="184"/>
      <c r="E34" s="135"/>
      <c r="F34" s="184"/>
      <c r="G34" s="184"/>
      <c r="H34" s="184"/>
      <c r="I34" s="184"/>
      <c r="J34" s="184"/>
      <c r="Z34" s="112">
        <f>+$O$27*11</f>
        <v>19008</v>
      </c>
      <c r="AA34" s="137">
        <f>+AB34/Q33</f>
        <v>0.15979938271604938</v>
      </c>
      <c r="AB34" s="129">
        <v>45562</v>
      </c>
      <c r="AC34" s="114">
        <v>45.561999999999998</v>
      </c>
      <c r="AE34" s="112">
        <f>+$O$27*11</f>
        <v>19008</v>
      </c>
      <c r="AF34" s="137">
        <f>+AG34/Q33</f>
        <v>0.19992283950617284</v>
      </c>
      <c r="AG34" s="129">
        <v>57002</v>
      </c>
      <c r="AH34" s="114">
        <v>57.02</v>
      </c>
      <c r="AJ34" s="131" t="s">
        <v>61</v>
      </c>
      <c r="AK34" s="131" t="s">
        <v>68</v>
      </c>
      <c r="AL34" s="131" t="s">
        <v>62</v>
      </c>
      <c r="AO34" s="139" t="s">
        <v>61</v>
      </c>
      <c r="AP34" s="139" t="s">
        <v>68</v>
      </c>
      <c r="AQ34" s="139" t="s">
        <v>62</v>
      </c>
      <c r="AT34" s="139" t="s">
        <v>61</v>
      </c>
      <c r="AU34" s="139" t="s">
        <v>68</v>
      </c>
      <c r="AV34" s="139" t="s">
        <v>62</v>
      </c>
      <c r="AZ34" s="140" t="s">
        <v>61</v>
      </c>
      <c r="BA34" s="140" t="s">
        <v>68</v>
      </c>
      <c r="BB34" s="140" t="s">
        <v>62</v>
      </c>
      <c r="BE34" s="140" t="s">
        <v>61</v>
      </c>
      <c r="BF34" s="140" t="s">
        <v>68</v>
      </c>
      <c r="BG34" s="140" t="s">
        <v>62</v>
      </c>
      <c r="BJ34" s="141" t="s">
        <v>61</v>
      </c>
      <c r="BK34" s="141" t="s">
        <v>68</v>
      </c>
      <c r="BL34" s="141" t="s">
        <v>62</v>
      </c>
      <c r="BO34" s="141" t="s">
        <v>61</v>
      </c>
      <c r="BP34" s="141" t="s">
        <v>68</v>
      </c>
      <c r="BQ34" s="141" t="s">
        <v>62</v>
      </c>
    </row>
    <row r="35" spans="1:70" x14ac:dyDescent="0.25">
      <c r="A35" s="143" t="s">
        <v>183</v>
      </c>
      <c r="B35" s="112"/>
      <c r="C35" s="184"/>
      <c r="D35" s="184">
        <v>-0.3</v>
      </c>
      <c r="E35" s="135"/>
      <c r="F35" s="183">
        <f>-10-7</f>
        <v>-17</v>
      </c>
      <c r="G35" s="184">
        <f>-8.3-6</f>
        <v>-14.3</v>
      </c>
      <c r="H35" s="184">
        <f>-6-5.1</f>
        <v>-11.1</v>
      </c>
      <c r="I35" s="184">
        <f>-3.3-3.8</f>
        <v>-7.1</v>
      </c>
      <c r="J35" s="184">
        <v>0</v>
      </c>
      <c r="AJ35" s="112">
        <f>+$O$27*11</f>
        <v>19008</v>
      </c>
      <c r="AK35" s="137">
        <f>+AL35/Q33</f>
        <v>0.12630471380471381</v>
      </c>
      <c r="AL35" s="129">
        <v>36012</v>
      </c>
      <c r="AM35" s="114">
        <v>36.119999999999997</v>
      </c>
      <c r="AO35" s="112">
        <f>+$O$27*11</f>
        <v>19008</v>
      </c>
      <c r="AP35" s="137">
        <f>+AQ35/Q33</f>
        <v>0.53312991021324352</v>
      </c>
      <c r="AQ35" s="129">
        <v>152006</v>
      </c>
      <c r="AR35" s="114">
        <v>152.06</v>
      </c>
      <c r="AT35" s="112">
        <f>+$O$27*11</f>
        <v>19008</v>
      </c>
      <c r="AU35" s="137">
        <f>+AV35/Q33</f>
        <v>0.19992283950617284</v>
      </c>
      <c r="AV35" s="129">
        <v>57002</v>
      </c>
      <c r="AW35" s="114">
        <v>57.02</v>
      </c>
      <c r="AZ35" s="112">
        <f>+$O$27*11</f>
        <v>19008</v>
      </c>
      <c r="BA35" s="137">
        <f>+BB35/Q33</f>
        <v>0.53312991021324352</v>
      </c>
      <c r="BB35" s="129">
        <v>152006</v>
      </c>
      <c r="BC35" s="114">
        <v>152.06</v>
      </c>
      <c r="BE35" s="112">
        <f>+$O$27*11</f>
        <v>19008</v>
      </c>
      <c r="BF35" s="137">
        <f>+BG35/Q33</f>
        <v>0.53312991021324352</v>
      </c>
      <c r="BG35" s="129">
        <v>152006</v>
      </c>
      <c r="BH35" s="114">
        <v>152.06</v>
      </c>
      <c r="BJ35" s="112">
        <f>+$O$27*11</f>
        <v>19008</v>
      </c>
      <c r="BK35" s="137">
        <f>+BL35/Q33</f>
        <v>0.53312991021324352</v>
      </c>
      <c r="BL35" s="129">
        <v>152006</v>
      </c>
      <c r="BM35" s="114">
        <v>152.06</v>
      </c>
      <c r="BO35" s="112">
        <f>+$O$27*11</f>
        <v>19008</v>
      </c>
      <c r="BP35" s="137">
        <f>+BQ35/Q33</f>
        <v>0.53312991021324352</v>
      </c>
      <c r="BQ35" s="129">
        <v>152006</v>
      </c>
      <c r="BR35" s="114">
        <v>152.06</v>
      </c>
    </row>
    <row r="36" spans="1:70" ht="14.65" x14ac:dyDescent="0.4">
      <c r="A36" s="143" t="s">
        <v>10</v>
      </c>
      <c r="B36" s="133">
        <v>0.25</v>
      </c>
      <c r="C36" s="184"/>
      <c r="D36" s="184">
        <v>0</v>
      </c>
      <c r="E36" s="135"/>
      <c r="F36" s="184">
        <v>0</v>
      </c>
      <c r="G36" s="184">
        <v>0</v>
      </c>
      <c r="H36" s="184">
        <v>0</v>
      </c>
      <c r="I36" s="184">
        <f>-(I32+I34+I35)*$B$36</f>
        <v>-21.300617271250005</v>
      </c>
      <c r="J36" s="184">
        <f>-(J32+J34+J35)*$B$36</f>
        <v>-51.023161496547502</v>
      </c>
      <c r="AB36" s="193">
        <f>AB34+AB22+AB16+AB10+AB6</f>
        <v>87260</v>
      </c>
    </row>
    <row r="37" spans="1:70" x14ac:dyDescent="0.25">
      <c r="A37" s="187" t="s">
        <v>11</v>
      </c>
      <c r="B37" s="187"/>
      <c r="C37" s="194"/>
      <c r="D37" s="194">
        <f>D32+SUM(D34:D36)</f>
        <v>-105.24</v>
      </c>
      <c r="E37" s="135"/>
      <c r="F37" s="194">
        <f t="shared" ref="F37:J37" si="17">F32+SUM(F34:F36)</f>
        <v>-50.052800000000019</v>
      </c>
      <c r="G37" s="194">
        <f t="shared" si="17"/>
        <v>-36.115706000000003</v>
      </c>
      <c r="H37" s="194">
        <f t="shared" si="17"/>
        <v>0.72800950000006459</v>
      </c>
      <c r="I37" s="194">
        <f t="shared" si="17"/>
        <v>63.901851813750007</v>
      </c>
      <c r="J37" s="194">
        <f t="shared" si="17"/>
        <v>153.06948448964249</v>
      </c>
      <c r="L37" s="195" t="s">
        <v>19</v>
      </c>
      <c r="M37" s="195"/>
    </row>
    <row r="38" spans="1:70" x14ac:dyDescent="0.2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L38" s="112" t="s">
        <v>47</v>
      </c>
      <c r="M38" s="112">
        <v>149.4</v>
      </c>
      <c r="Z38" s="197" t="s">
        <v>198</v>
      </c>
      <c r="AA38" s="198"/>
      <c r="AB38" s="198"/>
    </row>
    <row r="39" spans="1:70" x14ac:dyDescent="0.25">
      <c r="A39" s="127" t="s">
        <v>50</v>
      </c>
      <c r="B39" s="112"/>
      <c r="C39" s="112"/>
      <c r="D39" s="116" t="s">
        <v>54</v>
      </c>
      <c r="E39" s="117"/>
      <c r="F39" s="118" t="s">
        <v>55</v>
      </c>
      <c r="G39" s="119" t="s">
        <v>56</v>
      </c>
      <c r="H39" s="120" t="s">
        <v>57</v>
      </c>
      <c r="I39" s="121" t="s">
        <v>58</v>
      </c>
      <c r="J39" s="122" t="s">
        <v>103</v>
      </c>
      <c r="L39" s="112" t="s">
        <v>48</v>
      </c>
      <c r="M39" s="112">
        <v>0</v>
      </c>
      <c r="P39" s="302" t="s">
        <v>85</v>
      </c>
      <c r="Q39" s="303"/>
      <c r="Z39" s="198" t="s">
        <v>199</v>
      </c>
      <c r="AA39" s="198">
        <v>5263</v>
      </c>
      <c r="AB39" s="198"/>
    </row>
    <row r="40" spans="1:70" x14ac:dyDescent="0.25">
      <c r="A40" s="136" t="s">
        <v>12</v>
      </c>
      <c r="B40" s="184"/>
      <c r="C40" s="184"/>
      <c r="D40" s="184">
        <f t="shared" ref="D40:J40" si="18">+D37+D28+D29</f>
        <v>-97.039999999999992</v>
      </c>
      <c r="E40" s="135"/>
      <c r="F40" s="184">
        <f t="shared" si="18"/>
        <v>-41.852800000000023</v>
      </c>
      <c r="G40" s="184">
        <f t="shared" si="18"/>
        <v>-34.675706000000005</v>
      </c>
      <c r="H40" s="184">
        <f t="shared" si="18"/>
        <v>10.680009500000066</v>
      </c>
      <c r="I40" s="184">
        <f t="shared" si="18"/>
        <v>71.543451813750011</v>
      </c>
      <c r="J40" s="184">
        <f t="shared" si="18"/>
        <v>159.18276448964249</v>
      </c>
      <c r="L40" s="112" t="s">
        <v>49</v>
      </c>
      <c r="M40" s="112">
        <f>+M38+M39</f>
        <v>149.4</v>
      </c>
      <c r="P40" s="302" t="s">
        <v>200</v>
      </c>
      <c r="Q40" s="303"/>
      <c r="Z40" s="198" t="s">
        <v>205</v>
      </c>
      <c r="AA40" s="198">
        <v>50130</v>
      </c>
      <c r="AB40" s="198"/>
    </row>
    <row r="41" spans="1:70" x14ac:dyDescent="0.25">
      <c r="A41" s="143" t="s">
        <v>17</v>
      </c>
      <c r="B41" s="199"/>
      <c r="C41" s="184"/>
      <c r="D41" s="183">
        <v>93.9</v>
      </c>
      <c r="E41" s="135"/>
      <c r="F41" s="183">
        <v>55.53</v>
      </c>
      <c r="G41" s="200">
        <v>-99.4</v>
      </c>
      <c r="H41" s="200">
        <v>-50</v>
      </c>
      <c r="I41" s="200"/>
      <c r="J41" s="200"/>
      <c r="P41" s="302" t="s">
        <v>86</v>
      </c>
      <c r="Q41" s="303"/>
      <c r="Z41" s="198" t="s">
        <v>201</v>
      </c>
      <c r="AA41" s="146" t="s">
        <v>203</v>
      </c>
      <c r="AB41" s="198" t="s">
        <v>204</v>
      </c>
    </row>
    <row r="42" spans="1:70" ht="15" customHeight="1" x14ac:dyDescent="0.25">
      <c r="A42" s="143" t="s">
        <v>13</v>
      </c>
      <c r="B42" s="183"/>
      <c r="C42" s="184"/>
      <c r="D42" s="134">
        <v>10</v>
      </c>
      <c r="E42" s="135"/>
      <c r="F42" s="184"/>
      <c r="G42" s="200">
        <v>200</v>
      </c>
      <c r="H42" s="184"/>
      <c r="I42" s="184"/>
      <c r="J42" s="184"/>
      <c r="L42" s="201" t="s">
        <v>46</v>
      </c>
      <c r="M42" s="202"/>
      <c r="P42" s="302" t="s">
        <v>195</v>
      </c>
      <c r="Q42" s="303"/>
      <c r="Z42" s="198" t="s">
        <v>202</v>
      </c>
      <c r="AA42" s="146">
        <v>0.97</v>
      </c>
      <c r="AB42" s="198"/>
    </row>
    <row r="43" spans="1:70" x14ac:dyDescent="0.25">
      <c r="A43" s="143" t="s">
        <v>14</v>
      </c>
      <c r="B43" s="184">
        <v>62.7</v>
      </c>
      <c r="C43" s="184"/>
      <c r="D43" s="134">
        <v>52.6</v>
      </c>
      <c r="E43" s="135"/>
      <c r="F43" s="134">
        <f>-18.2</f>
        <v>-18.2</v>
      </c>
      <c r="G43" s="134">
        <f>-7.3-4</f>
        <v>-11.3</v>
      </c>
      <c r="H43" s="134">
        <v>-12</v>
      </c>
      <c r="I43" s="200">
        <v>-11.1</v>
      </c>
      <c r="J43" s="200"/>
      <c r="L43" s="112" t="s">
        <v>44</v>
      </c>
      <c r="M43" s="112">
        <v>10</v>
      </c>
      <c r="P43" s="267" t="s">
        <v>87</v>
      </c>
      <c r="Q43" s="267"/>
    </row>
    <row r="44" spans="1:70" x14ac:dyDescent="0.25">
      <c r="A44" s="143" t="s">
        <v>15</v>
      </c>
      <c r="B44" s="184"/>
      <c r="C44" s="184"/>
      <c r="D44" s="134">
        <f>+D78</f>
        <v>6.4</v>
      </c>
      <c r="E44" s="135"/>
      <c r="F44" s="134">
        <f>+F78</f>
        <v>7.5315352054794502</v>
      </c>
      <c r="G44" s="134">
        <f>+G78</f>
        <v>3.448790818264845</v>
      </c>
      <c r="H44" s="134">
        <f>+H78</f>
        <v>0.46934298356164206</v>
      </c>
      <c r="I44" s="134">
        <f>+I78</f>
        <v>-2.5516597938904084</v>
      </c>
      <c r="J44" s="134">
        <f>+J78</f>
        <v>-7.5572350523595455</v>
      </c>
      <c r="L44" s="112" t="s">
        <v>45</v>
      </c>
      <c r="M44" s="112">
        <v>0</v>
      </c>
      <c r="P44" s="267" t="s">
        <v>88</v>
      </c>
      <c r="Q44" s="267"/>
    </row>
    <row r="45" spans="1:70" x14ac:dyDescent="0.25">
      <c r="A45" s="143" t="s">
        <v>25</v>
      </c>
      <c r="B45" s="184"/>
      <c r="C45" s="184"/>
      <c r="D45" s="134">
        <v>-2.8</v>
      </c>
      <c r="E45" s="135"/>
      <c r="F45" s="184"/>
      <c r="G45" s="183">
        <v>-50</v>
      </c>
      <c r="H45" s="184"/>
      <c r="I45" s="184"/>
      <c r="J45" s="184"/>
      <c r="L45" s="112" t="s">
        <v>49</v>
      </c>
      <c r="M45" s="112">
        <f>+M43+M44</f>
        <v>10</v>
      </c>
    </row>
    <row r="46" spans="1:70" x14ac:dyDescent="0.25">
      <c r="A46" s="143" t="s">
        <v>27</v>
      </c>
      <c r="B46" s="184"/>
      <c r="C46" s="134"/>
      <c r="D46" s="134">
        <v>-44.3</v>
      </c>
      <c r="E46" s="135"/>
      <c r="F46" s="184"/>
      <c r="G46" s="183">
        <v>0</v>
      </c>
      <c r="H46" s="184"/>
      <c r="I46" s="184"/>
      <c r="J46" s="184"/>
      <c r="O46" s="268" t="s">
        <v>66</v>
      </c>
      <c r="P46" s="268"/>
      <c r="Q46" s="268"/>
      <c r="R46" s="268" t="s">
        <v>54</v>
      </c>
      <c r="S46" s="268"/>
      <c r="T46" s="268"/>
    </row>
    <row r="47" spans="1:70" x14ac:dyDescent="0.25">
      <c r="A47" s="143" t="s">
        <v>32</v>
      </c>
      <c r="B47" s="184"/>
      <c r="C47" s="184"/>
      <c r="D47" s="134">
        <v>-8</v>
      </c>
      <c r="E47" s="135"/>
      <c r="F47" s="184"/>
      <c r="G47" s="183">
        <v>0</v>
      </c>
      <c r="H47" s="184"/>
      <c r="I47" s="184"/>
      <c r="J47" s="184"/>
      <c r="O47" s="128" t="s">
        <v>70</v>
      </c>
      <c r="P47" s="128" t="s">
        <v>67</v>
      </c>
      <c r="Q47" s="128" t="s">
        <v>2</v>
      </c>
      <c r="R47" s="128" t="s">
        <v>71</v>
      </c>
      <c r="S47" s="128" t="s">
        <v>72</v>
      </c>
      <c r="T47" s="203" t="s">
        <v>62</v>
      </c>
    </row>
    <row r="48" spans="1:70" x14ac:dyDescent="0.25">
      <c r="A48" s="143" t="s">
        <v>30</v>
      </c>
      <c r="B48" s="184"/>
      <c r="C48" s="184"/>
      <c r="D48" s="134">
        <v>-3.1</v>
      </c>
      <c r="E48" s="135"/>
      <c r="F48" s="184"/>
      <c r="G48" s="183">
        <v>-5</v>
      </c>
      <c r="H48" s="184"/>
      <c r="I48" s="184"/>
      <c r="J48" s="184"/>
      <c r="O48" s="204">
        <v>15</v>
      </c>
      <c r="P48" s="205">
        <f>+O48*3*11</f>
        <v>495</v>
      </c>
      <c r="Q48" s="204">
        <v>70</v>
      </c>
      <c r="R48" s="167">
        <f>+$P$48*$Q$48</f>
        <v>34650</v>
      </c>
      <c r="S48" s="206">
        <f>+T48/R48</f>
        <v>0.21650793650793651</v>
      </c>
      <c r="T48" s="129">
        <v>7502</v>
      </c>
      <c r="U48" s="112">
        <v>7.5</v>
      </c>
      <c r="Y48" s="160"/>
    </row>
    <row r="49" spans="1:49" x14ac:dyDescent="0.25">
      <c r="A49" s="207" t="s">
        <v>23</v>
      </c>
      <c r="B49" s="112"/>
      <c r="C49" s="112"/>
      <c r="D49" s="112"/>
      <c r="E49" s="208"/>
      <c r="F49" s="112"/>
      <c r="G49" s="112"/>
      <c r="H49" s="112"/>
      <c r="I49" s="112"/>
      <c r="J49" s="112"/>
    </row>
    <row r="50" spans="1:49" x14ac:dyDescent="0.25">
      <c r="A50" s="119" t="s">
        <v>16</v>
      </c>
      <c r="B50" s="209"/>
      <c r="C50" s="209"/>
      <c r="D50" s="209">
        <f>SUM(D40:D48)</f>
        <v>7.6600000000000197</v>
      </c>
      <c r="E50" s="208"/>
      <c r="F50" s="209">
        <f>D50+SUM(F40:F48)</f>
        <v>10.668735205479448</v>
      </c>
      <c r="G50" s="209">
        <f t="shared" ref="G50:J50" si="19">F50+SUM(G40:G48)</f>
        <v>13.741820023744273</v>
      </c>
      <c r="H50" s="219">
        <f t="shared" si="19"/>
        <v>-37.108827492694012</v>
      </c>
      <c r="I50" s="209">
        <f t="shared" si="19"/>
        <v>20.782964527165589</v>
      </c>
      <c r="J50" s="209">
        <f t="shared" si="19"/>
        <v>172.40849396444855</v>
      </c>
      <c r="O50" s="268" t="s">
        <v>171</v>
      </c>
      <c r="P50" s="268"/>
    </row>
    <row r="51" spans="1:49" x14ac:dyDescent="0.25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O51" s="304" t="s">
        <v>207</v>
      </c>
      <c r="P51" s="305"/>
    </row>
    <row r="52" spans="1:49" x14ac:dyDescent="0.25">
      <c r="A52" s="127" t="s">
        <v>34</v>
      </c>
      <c r="B52" s="112"/>
      <c r="C52" s="112"/>
      <c r="D52" s="116" t="s">
        <v>54</v>
      </c>
      <c r="E52" s="117"/>
      <c r="F52" s="118" t="s">
        <v>55</v>
      </c>
      <c r="G52" s="119" t="s">
        <v>56</v>
      </c>
      <c r="H52" s="120" t="s">
        <v>57</v>
      </c>
      <c r="I52" s="121" t="s">
        <v>58</v>
      </c>
      <c r="J52" s="122" t="s">
        <v>103</v>
      </c>
      <c r="O52" s="306"/>
      <c r="P52" s="307"/>
    </row>
    <row r="53" spans="1:49" x14ac:dyDescent="0.25">
      <c r="A53" s="112" t="s">
        <v>53</v>
      </c>
      <c r="B53" s="184"/>
      <c r="C53" s="184"/>
      <c r="D53" s="184">
        <f>C53+D37+D42</f>
        <v>-95.24</v>
      </c>
      <c r="E53" s="135"/>
      <c r="F53" s="183">
        <f>D53+F37+F42</f>
        <v>-145.2928</v>
      </c>
      <c r="G53" s="200">
        <f>F53+G37+G42</f>
        <v>18.591494000000012</v>
      </c>
      <c r="H53" s="200">
        <f>G53+H37+H42</f>
        <v>19.319503500000074</v>
      </c>
      <c r="I53" s="200">
        <f>H53+I37+I42</f>
        <v>83.221355313750081</v>
      </c>
      <c r="J53" s="200">
        <f>I53+J37+J42</f>
        <v>236.29083980339257</v>
      </c>
      <c r="O53" s="308"/>
      <c r="P53" s="309"/>
    </row>
    <row r="54" spans="1:49" x14ac:dyDescent="0.25">
      <c r="A54" s="112" t="s">
        <v>19</v>
      </c>
      <c r="B54" s="184"/>
      <c r="C54" s="184"/>
      <c r="D54" s="184">
        <f>+C54+D41</f>
        <v>93.9</v>
      </c>
      <c r="E54" s="135"/>
      <c r="F54" s="184">
        <f>+D54+F41</f>
        <v>149.43</v>
      </c>
      <c r="G54" s="184">
        <f>+F54+G41</f>
        <v>50.03</v>
      </c>
      <c r="H54" s="184">
        <f>+G54+H41</f>
        <v>3.0000000000001137E-2</v>
      </c>
      <c r="I54" s="184">
        <f>+H54+I41</f>
        <v>3.0000000000001137E-2</v>
      </c>
      <c r="J54" s="184">
        <f>+I54+J41</f>
        <v>3.0000000000001137E-2</v>
      </c>
    </row>
    <row r="55" spans="1:49" x14ac:dyDescent="0.25">
      <c r="A55" s="112" t="s">
        <v>20</v>
      </c>
      <c r="B55" s="184"/>
      <c r="C55" s="184"/>
      <c r="D55" s="184">
        <f>C43+D43</f>
        <v>52.6</v>
      </c>
      <c r="E55" s="135"/>
      <c r="F55" s="184">
        <f>+D55+F43</f>
        <v>34.400000000000006</v>
      </c>
      <c r="G55" s="184">
        <f>+F55+G43</f>
        <v>23.100000000000005</v>
      </c>
      <c r="H55" s="184">
        <f>+G55+H43</f>
        <v>11.100000000000005</v>
      </c>
      <c r="I55" s="184">
        <f>+H55+I43</f>
        <v>0</v>
      </c>
      <c r="J55" s="184">
        <f>+I55+J43</f>
        <v>0</v>
      </c>
    </row>
    <row r="56" spans="1:49" x14ac:dyDescent="0.25">
      <c r="A56" s="112" t="s">
        <v>21</v>
      </c>
      <c r="B56" s="184"/>
      <c r="C56" s="184"/>
      <c r="D56" s="184">
        <f>+D75</f>
        <v>3</v>
      </c>
      <c r="E56" s="135"/>
      <c r="F56" s="184">
        <f t="shared" ref="F56:J57" si="20">+F75</f>
        <v>15.649209863013699</v>
      </c>
      <c r="G56" s="184">
        <f t="shared" si="20"/>
        <v>19.996857073972606</v>
      </c>
      <c r="H56" s="184">
        <f t="shared" si="20"/>
        <v>22.714165084931508</v>
      </c>
      <c r="I56" s="184">
        <f t="shared" si="20"/>
        <v>24.61917786213699</v>
      </c>
      <c r="J56" s="184">
        <f t="shared" si="20"/>
        <v>23.96584697927014</v>
      </c>
    </row>
    <row r="57" spans="1:49" x14ac:dyDescent="0.25">
      <c r="A57" s="143" t="s">
        <v>22</v>
      </c>
      <c r="B57" s="184"/>
      <c r="C57" s="184"/>
      <c r="D57" s="184">
        <f>+D76</f>
        <v>3.4</v>
      </c>
      <c r="E57" s="135"/>
      <c r="F57" s="184">
        <f t="shared" si="20"/>
        <v>2.3737499999999998</v>
      </c>
      <c r="G57" s="184">
        <f t="shared" si="20"/>
        <v>4.583333333333333</v>
      </c>
      <c r="H57" s="184">
        <f t="shared" si="20"/>
        <v>5.833333333333333</v>
      </c>
      <c r="I57" s="184">
        <f t="shared" si="20"/>
        <v>6.7333333333333334</v>
      </c>
      <c r="J57" s="184">
        <f t="shared" si="20"/>
        <v>6.8846666666666669</v>
      </c>
      <c r="O57" s="268" t="s">
        <v>172</v>
      </c>
      <c r="P57" s="268"/>
    </row>
    <row r="58" spans="1:49" x14ac:dyDescent="0.25">
      <c r="A58" s="143" t="s">
        <v>23</v>
      </c>
      <c r="B58" s="184"/>
      <c r="C58" s="184"/>
      <c r="D58" s="184">
        <v>0</v>
      </c>
      <c r="E58" s="135"/>
      <c r="F58" s="184"/>
      <c r="G58" s="184"/>
      <c r="H58" s="184"/>
      <c r="I58" s="184"/>
      <c r="J58" s="184"/>
      <c r="O58" s="304" t="s">
        <v>178</v>
      </c>
      <c r="P58" s="305"/>
    </row>
    <row r="59" spans="1:49" x14ac:dyDescent="0.25">
      <c r="A59" s="143" t="s">
        <v>24</v>
      </c>
      <c r="B59" s="184"/>
      <c r="C59" s="184"/>
      <c r="D59" s="184">
        <f>+SUM(D53:D58)</f>
        <v>57.660000000000011</v>
      </c>
      <c r="E59" s="135"/>
      <c r="F59" s="184">
        <f t="shared" ref="F59" si="21">+SUM(F53:F58)</f>
        <v>56.560159863013709</v>
      </c>
      <c r="G59" s="184">
        <f t="shared" ref="G59:J59" si="22">+SUM(G53:G58)</f>
        <v>116.30168440730596</v>
      </c>
      <c r="H59" s="184">
        <f t="shared" si="22"/>
        <v>58.997001918264921</v>
      </c>
      <c r="I59" s="184">
        <f t="shared" si="22"/>
        <v>114.60386650922041</v>
      </c>
      <c r="J59" s="184">
        <f t="shared" si="22"/>
        <v>267.17135344932939</v>
      </c>
      <c r="O59" s="306"/>
      <c r="P59" s="307"/>
    </row>
    <row r="60" spans="1:49" ht="15.75" thickBot="1" x14ac:dyDescent="0.3">
      <c r="B60" s="210"/>
      <c r="C60" s="210"/>
      <c r="D60" s="210"/>
      <c r="E60" s="135"/>
      <c r="F60" s="210"/>
      <c r="G60" s="210"/>
      <c r="H60" s="210"/>
      <c r="I60" s="210"/>
      <c r="J60" s="210"/>
      <c r="O60" s="308"/>
      <c r="P60" s="309"/>
    </row>
    <row r="61" spans="1:49" ht="15.75" thickBot="1" x14ac:dyDescent="0.3">
      <c r="A61" s="112" t="s">
        <v>25</v>
      </c>
      <c r="B61" s="184"/>
      <c r="C61" s="184"/>
      <c r="D61" s="184">
        <f>C61-D45-D28</f>
        <v>0</v>
      </c>
      <c r="E61" s="135"/>
      <c r="F61" s="184">
        <f>D61-F45-F28</f>
        <v>-2.8</v>
      </c>
      <c r="G61" s="184">
        <f t="shared" ref="G61:J62" si="23">F61-G45-G28</f>
        <v>47.760000000000005</v>
      </c>
      <c r="H61" s="184">
        <f t="shared" si="23"/>
        <v>38.208000000000006</v>
      </c>
      <c r="I61" s="184">
        <f t="shared" si="23"/>
        <v>30.566400000000005</v>
      </c>
      <c r="J61" s="184">
        <f t="shared" si="23"/>
        <v>24.453120000000006</v>
      </c>
      <c r="AS61" s="211">
        <v>17.07</v>
      </c>
      <c r="AT61" s="212" t="s">
        <v>119</v>
      </c>
      <c r="AU61" s="212">
        <v>645</v>
      </c>
    </row>
    <row r="62" spans="1:49" ht="15.75" thickBot="1" x14ac:dyDescent="0.3">
      <c r="A62" s="112" t="s">
        <v>27</v>
      </c>
      <c r="B62" s="184"/>
      <c r="C62" s="184"/>
      <c r="D62" s="184">
        <f>C62-D46-D29</f>
        <v>38.9</v>
      </c>
      <c r="E62" s="135"/>
      <c r="F62" s="184">
        <f>D62-F46-F29</f>
        <v>33.5</v>
      </c>
      <c r="G62" s="184">
        <f t="shared" si="23"/>
        <v>31.5</v>
      </c>
      <c r="H62" s="184">
        <f t="shared" si="23"/>
        <v>31.1</v>
      </c>
      <c r="I62" s="184">
        <f t="shared" si="23"/>
        <v>31.1</v>
      </c>
      <c r="J62" s="184">
        <f t="shared" si="23"/>
        <v>31.1</v>
      </c>
      <c r="O62" s="268" t="s">
        <v>176</v>
      </c>
      <c r="P62" s="268"/>
      <c r="AS62" s="213">
        <v>17.079999999999998</v>
      </c>
      <c r="AT62" s="214" t="s">
        <v>120</v>
      </c>
      <c r="AU62" s="214">
        <v>716</v>
      </c>
    </row>
    <row r="63" spans="1:49" ht="15.75" thickBot="1" x14ac:dyDescent="0.3">
      <c r="A63" s="112" t="s">
        <v>26</v>
      </c>
      <c r="B63" s="184"/>
      <c r="C63" s="184"/>
      <c r="D63" s="184">
        <f>C63-D47</f>
        <v>8</v>
      </c>
      <c r="E63" s="135"/>
      <c r="F63" s="184">
        <f>D63-F47</f>
        <v>8</v>
      </c>
      <c r="G63" s="184">
        <f>F63-G47</f>
        <v>8</v>
      </c>
      <c r="H63" s="184">
        <f>G63-H47</f>
        <v>8</v>
      </c>
      <c r="I63" s="184">
        <f>H63-I47</f>
        <v>8</v>
      </c>
      <c r="J63" s="184">
        <f>I63-J47</f>
        <v>8</v>
      </c>
      <c r="O63" s="304" t="s">
        <v>177</v>
      </c>
      <c r="P63" s="305"/>
      <c r="AS63" s="213">
        <v>17.09</v>
      </c>
      <c r="AT63" s="214" t="s">
        <v>121</v>
      </c>
      <c r="AU63" s="214">
        <v>795</v>
      </c>
      <c r="AV63" s="214">
        <v>795</v>
      </c>
      <c r="AW63" s="214" t="s">
        <v>127</v>
      </c>
    </row>
    <row r="64" spans="1:49" ht="15.75" thickBot="1" x14ac:dyDescent="0.3">
      <c r="A64" s="112" t="s">
        <v>28</v>
      </c>
      <c r="B64" s="184"/>
      <c r="C64" s="184"/>
      <c r="D64" s="184">
        <v>0</v>
      </c>
      <c r="E64" s="135"/>
      <c r="F64" s="184"/>
      <c r="G64" s="184"/>
      <c r="H64" s="184"/>
      <c r="I64" s="184"/>
      <c r="J64" s="184"/>
      <c r="O64" s="306"/>
      <c r="P64" s="307"/>
      <c r="AS64" s="213">
        <v>17.100000000000001</v>
      </c>
      <c r="AT64" s="214" t="s">
        <v>122</v>
      </c>
      <c r="AU64" s="214">
        <v>882</v>
      </c>
      <c r="AV64" s="214">
        <v>882</v>
      </c>
      <c r="AW64" s="214" t="s">
        <v>129</v>
      </c>
    </row>
    <row r="65" spans="1:49" ht="15.75" thickBot="1" x14ac:dyDescent="0.3">
      <c r="A65" s="112" t="s">
        <v>29</v>
      </c>
      <c r="B65" s="184"/>
      <c r="C65" s="184"/>
      <c r="D65" s="184">
        <v>0</v>
      </c>
      <c r="E65" s="135"/>
      <c r="F65" s="184">
        <f>+F74</f>
        <v>4.0914246575342466</v>
      </c>
      <c r="G65" s="184">
        <f>+G74</f>
        <v>7.1998643835616418</v>
      </c>
      <c r="H65" s="184">
        <f>+H74</f>
        <v>10.697829410958905</v>
      </c>
      <c r="I65" s="184">
        <f>+I74</f>
        <v>16.054501982054795</v>
      </c>
      <c r="J65" s="184">
        <f>+J74</f>
        <v>23.109739484880823</v>
      </c>
      <c r="O65" s="308"/>
      <c r="P65" s="309"/>
      <c r="AS65" s="213">
        <v>17.11</v>
      </c>
      <c r="AT65" s="214" t="s">
        <v>123</v>
      </c>
      <c r="AU65" s="214">
        <v>979</v>
      </c>
      <c r="AV65" s="214">
        <v>979</v>
      </c>
      <c r="AW65" s="214" t="s">
        <v>131</v>
      </c>
    </row>
    <row r="66" spans="1:49" ht="15.75" thickBot="1" x14ac:dyDescent="0.3">
      <c r="A66" s="112" t="s">
        <v>30</v>
      </c>
      <c r="B66" s="184"/>
      <c r="C66" s="184"/>
      <c r="D66" s="184">
        <f>C66-D48</f>
        <v>3.1</v>
      </c>
      <c r="E66" s="135"/>
      <c r="F66" s="184">
        <f>D66-F48</f>
        <v>3.1</v>
      </c>
      <c r="G66" s="184">
        <f>F66-G48</f>
        <v>8.1</v>
      </c>
      <c r="H66" s="184">
        <f>G66-H48</f>
        <v>8.1</v>
      </c>
      <c r="I66" s="184">
        <f>H66-I48</f>
        <v>8.1</v>
      </c>
      <c r="J66" s="184">
        <f>I66-J48</f>
        <v>8.1</v>
      </c>
      <c r="AS66" s="213">
        <v>17.12</v>
      </c>
      <c r="AT66" s="214" t="s">
        <v>124</v>
      </c>
      <c r="AU66" s="214" t="s">
        <v>125</v>
      </c>
      <c r="AV66" s="214" t="s">
        <v>125</v>
      </c>
      <c r="AW66" s="214" t="s">
        <v>133</v>
      </c>
    </row>
    <row r="67" spans="1:49" ht="15.75" thickBot="1" x14ac:dyDescent="0.3">
      <c r="A67" s="112" t="s">
        <v>31</v>
      </c>
      <c r="B67" s="184"/>
      <c r="C67" s="184"/>
      <c r="D67" s="184">
        <v>7.5</v>
      </c>
      <c r="E67" s="135"/>
      <c r="F67" s="184">
        <f>F50</f>
        <v>10.668735205479448</v>
      </c>
      <c r="G67" s="184">
        <f>G50</f>
        <v>13.741820023744273</v>
      </c>
      <c r="H67" s="184">
        <f>H50</f>
        <v>-37.108827492694012</v>
      </c>
      <c r="I67" s="184">
        <f>I50</f>
        <v>20.782964527165589</v>
      </c>
      <c r="J67" s="184">
        <f>J50</f>
        <v>172.40849396444855</v>
      </c>
      <c r="AS67" s="213">
        <v>18.010000000000002</v>
      </c>
      <c r="AT67" s="214" t="s">
        <v>126</v>
      </c>
      <c r="AU67" s="214" t="s">
        <v>127</v>
      </c>
      <c r="AV67" s="214" t="s">
        <v>127</v>
      </c>
      <c r="AW67" s="214" t="s">
        <v>135</v>
      </c>
    </row>
    <row r="68" spans="1:49" ht="15.75" thickBot="1" x14ac:dyDescent="0.3">
      <c r="A68" s="143" t="s">
        <v>33</v>
      </c>
      <c r="B68" s="184"/>
      <c r="C68" s="184"/>
      <c r="D68" s="184">
        <f>SUM(D61:D67)</f>
        <v>57.5</v>
      </c>
      <c r="E68" s="135"/>
      <c r="F68" s="184">
        <f t="shared" ref="F68:J68" si="24">SUM(F61:F67)</f>
        <v>56.560159863013702</v>
      </c>
      <c r="G68" s="184">
        <f t="shared" si="24"/>
        <v>116.30168440730591</v>
      </c>
      <c r="H68" s="184">
        <f t="shared" si="24"/>
        <v>58.997001918264893</v>
      </c>
      <c r="I68" s="184">
        <f t="shared" si="24"/>
        <v>114.6038665092204</v>
      </c>
      <c r="J68" s="184">
        <f t="shared" si="24"/>
        <v>267.17135344932939</v>
      </c>
      <c r="AS68" s="213">
        <v>18.02</v>
      </c>
      <c r="AT68" s="214" t="s">
        <v>128</v>
      </c>
      <c r="AU68" s="214" t="s">
        <v>129</v>
      </c>
      <c r="AV68" s="214" t="s">
        <v>129</v>
      </c>
      <c r="AW68" s="214" t="s">
        <v>137</v>
      </c>
    </row>
    <row r="69" spans="1:49" ht="15.75" thickBot="1" x14ac:dyDescent="0.3">
      <c r="A69" s="187" t="s">
        <v>184</v>
      </c>
      <c r="B69" s="188"/>
      <c r="C69" s="188"/>
      <c r="D69" s="188">
        <f>D68-D59</f>
        <v>-0.1600000000000108</v>
      </c>
      <c r="E69" s="150"/>
      <c r="F69" s="188">
        <f t="shared" ref="F69:J69" si="25">F68-F59</f>
        <v>0</v>
      </c>
      <c r="G69" s="188">
        <f t="shared" si="25"/>
        <v>0</v>
      </c>
      <c r="H69" s="188">
        <f t="shared" si="25"/>
        <v>0</v>
      </c>
      <c r="I69" s="188">
        <f t="shared" si="25"/>
        <v>0</v>
      </c>
      <c r="J69" s="188">
        <f t="shared" si="25"/>
        <v>0</v>
      </c>
      <c r="AS69" s="213">
        <v>18.03</v>
      </c>
      <c r="AT69" s="214" t="s">
        <v>130</v>
      </c>
      <c r="AU69" s="214" t="s">
        <v>131</v>
      </c>
      <c r="AV69" s="214" t="s">
        <v>131</v>
      </c>
      <c r="AW69" s="214" t="s">
        <v>139</v>
      </c>
    </row>
    <row r="70" spans="1:49" ht="15.75" thickBot="1" x14ac:dyDescent="0.3">
      <c r="A70" s="187" t="s">
        <v>185</v>
      </c>
      <c r="B70" s="112"/>
      <c r="C70" s="112"/>
      <c r="D70" s="184">
        <f>D67-D50</f>
        <v>-0.16000000000001968</v>
      </c>
      <c r="E70" s="135"/>
      <c r="F70" s="184">
        <f>F67-F50</f>
        <v>0</v>
      </c>
      <c r="G70" s="184">
        <f>G67-G50</f>
        <v>0</v>
      </c>
      <c r="H70" s="184">
        <f>H67-H50</f>
        <v>0</v>
      </c>
      <c r="I70" s="184">
        <f>I67-I50</f>
        <v>0</v>
      </c>
      <c r="J70" s="184">
        <f>J67-J50</f>
        <v>0</v>
      </c>
      <c r="AS70" s="213">
        <v>18.04</v>
      </c>
      <c r="AT70" s="214" t="s">
        <v>132</v>
      </c>
      <c r="AU70" s="214" t="s">
        <v>133</v>
      </c>
      <c r="AV70" s="214" t="s">
        <v>133</v>
      </c>
      <c r="AW70" s="214" t="s">
        <v>141</v>
      </c>
    </row>
    <row r="71" spans="1:49" ht="15.75" thickBot="1" x14ac:dyDescent="0.3">
      <c r="A71" s="215"/>
      <c r="B71" s="215"/>
      <c r="C71" s="215"/>
      <c r="D71" s="215"/>
      <c r="E71" s="215"/>
      <c r="F71" s="215"/>
      <c r="G71" s="215"/>
      <c r="H71" s="215"/>
      <c r="I71" s="215"/>
      <c r="J71" s="215"/>
      <c r="AS71" s="213">
        <v>18.05</v>
      </c>
      <c r="AT71" s="214" t="s">
        <v>134</v>
      </c>
      <c r="AU71" s="214" t="s">
        <v>135</v>
      </c>
      <c r="AV71" s="214" t="s">
        <v>135</v>
      </c>
      <c r="AW71" s="214" t="s">
        <v>143</v>
      </c>
    </row>
    <row r="72" spans="1:49" ht="15.75" thickBot="1" x14ac:dyDescent="0.3">
      <c r="A72" s="127" t="s">
        <v>7</v>
      </c>
      <c r="B72" s="112"/>
      <c r="C72" s="112"/>
      <c r="D72" s="116" t="s">
        <v>54</v>
      </c>
      <c r="E72" s="117"/>
      <c r="F72" s="118" t="s">
        <v>55</v>
      </c>
      <c r="G72" s="119" t="s">
        <v>56</v>
      </c>
      <c r="H72" s="120" t="s">
        <v>57</v>
      </c>
      <c r="I72" s="121" t="s">
        <v>58</v>
      </c>
      <c r="J72" s="122" t="s">
        <v>103</v>
      </c>
      <c r="AS72" s="213">
        <v>18.059999999999999</v>
      </c>
      <c r="AT72" s="214" t="s">
        <v>136</v>
      </c>
      <c r="AU72" s="214" t="s">
        <v>137</v>
      </c>
      <c r="AV72" s="214" t="s">
        <v>137</v>
      </c>
      <c r="AW72" s="214" t="s">
        <v>145</v>
      </c>
    </row>
    <row r="73" spans="1:49" ht="15.75" thickBot="1" x14ac:dyDescent="0.3">
      <c r="A73" s="112" t="s">
        <v>28</v>
      </c>
      <c r="B73" s="112"/>
      <c r="C73" s="184"/>
      <c r="D73" s="184">
        <f>D64</f>
        <v>0</v>
      </c>
      <c r="E73" s="135"/>
      <c r="F73" s="184">
        <f>F64</f>
        <v>0</v>
      </c>
      <c r="G73" s="184">
        <f>G64</f>
        <v>0</v>
      </c>
      <c r="H73" s="184">
        <f>H64</f>
        <v>0</v>
      </c>
      <c r="I73" s="184">
        <f>I64</f>
        <v>0</v>
      </c>
      <c r="J73" s="184">
        <f>J64</f>
        <v>0</v>
      </c>
      <c r="AS73" s="213">
        <v>18.07</v>
      </c>
      <c r="AT73" s="214" t="s">
        <v>138</v>
      </c>
      <c r="AU73" s="214" t="s">
        <v>139</v>
      </c>
      <c r="AV73" s="214" t="s">
        <v>139</v>
      </c>
      <c r="AW73" s="214" t="s">
        <v>147</v>
      </c>
    </row>
    <row r="74" spans="1:49" ht="15.75" thickBot="1" x14ac:dyDescent="0.3">
      <c r="A74" s="112" t="s">
        <v>35</v>
      </c>
      <c r="B74" s="112"/>
      <c r="C74" s="184"/>
      <c r="D74" s="184">
        <f>+D65</f>
        <v>0</v>
      </c>
      <c r="E74" s="135"/>
      <c r="F74" s="184">
        <f>F14*(1+F82)/365*F80</f>
        <v>4.0914246575342466</v>
      </c>
      <c r="G74" s="184">
        <f>G14*(1+G82)/365*G80</f>
        <v>7.1998643835616418</v>
      </c>
      <c r="H74" s="184">
        <f>H14*(1+H82)/365*H80</f>
        <v>10.697829410958905</v>
      </c>
      <c r="I74" s="184">
        <f>I14*(1+I82)/365*I80</f>
        <v>16.054501982054795</v>
      </c>
      <c r="J74" s="184">
        <f>J14*(1+J82)/365*J80</f>
        <v>23.109739484880823</v>
      </c>
      <c r="AS74" s="213">
        <v>18.079999999999998</v>
      </c>
      <c r="AT74" s="214" t="s">
        <v>140</v>
      </c>
      <c r="AU74" s="214" t="s">
        <v>141</v>
      </c>
      <c r="AV74" s="214" t="s">
        <v>141</v>
      </c>
      <c r="AW74" s="214" t="s">
        <v>149</v>
      </c>
    </row>
    <row r="75" spans="1:49" ht="15.75" thickBot="1" x14ac:dyDescent="0.3">
      <c r="A75" s="112" t="s">
        <v>36</v>
      </c>
      <c r="B75" s="112"/>
      <c r="C75" s="184"/>
      <c r="D75" s="184">
        <v>3</v>
      </c>
      <c r="E75" s="135"/>
      <c r="F75" s="184">
        <f>SUM(F15:F18,F21:F26)*(1+G82)/365*F81</f>
        <v>15.649209863013699</v>
      </c>
      <c r="G75" s="184">
        <f>SUM(G15:G18,G21:G26)*(1+H82)/365*G81</f>
        <v>19.996857073972606</v>
      </c>
      <c r="H75" s="184">
        <f>SUM(H15:H18,H21:H26)*(1+I82)/365*H81</f>
        <v>22.714165084931508</v>
      </c>
      <c r="I75" s="184">
        <f>SUM(I15:I18,I21:I26)*(1+J82)/365*I81</f>
        <v>24.61917786213699</v>
      </c>
      <c r="J75" s="184">
        <f>SUM(J15:J18,J21:J26)*(1+K79)/365*J81</f>
        <v>23.96584697927014</v>
      </c>
      <c r="AS75" s="213">
        <v>18.09</v>
      </c>
      <c r="AT75" s="214" t="s">
        <v>142</v>
      </c>
      <c r="AU75" s="214" t="s">
        <v>143</v>
      </c>
    </row>
    <row r="76" spans="1:49" ht="15.75" thickBot="1" x14ac:dyDescent="0.3">
      <c r="A76" s="112" t="s">
        <v>22</v>
      </c>
      <c r="B76" s="112"/>
      <c r="C76" s="184"/>
      <c r="D76" s="184">
        <v>3.4</v>
      </c>
      <c r="E76" s="135"/>
      <c r="F76" s="184">
        <f>(F19+F20)/3/12*3</f>
        <v>2.3737499999999998</v>
      </c>
      <c r="G76" s="184">
        <f>(G19+G20)/3/12*3</f>
        <v>4.583333333333333</v>
      </c>
      <c r="H76" s="184">
        <f>(H19+H20)/3/12*3</f>
        <v>5.833333333333333</v>
      </c>
      <c r="I76" s="184">
        <f>(I19+I20)/3/12*3</f>
        <v>6.7333333333333334</v>
      </c>
      <c r="J76" s="184">
        <f>(J19+J20)/3/12*3</f>
        <v>6.8846666666666669</v>
      </c>
      <c r="AS76" s="213">
        <v>18.100000000000001</v>
      </c>
      <c r="AT76" s="214" t="s">
        <v>144</v>
      </c>
      <c r="AU76" s="214" t="s">
        <v>145</v>
      </c>
    </row>
    <row r="77" spans="1:49" ht="15.75" thickBot="1" x14ac:dyDescent="0.3">
      <c r="A77" s="112" t="s">
        <v>7</v>
      </c>
      <c r="B77" s="112"/>
      <c r="C77" s="184"/>
      <c r="D77" s="184">
        <f>D73+D74-D75-D76</f>
        <v>-6.4</v>
      </c>
      <c r="E77" s="135"/>
      <c r="F77" s="184">
        <f t="shared" ref="F77:J77" si="26">F73+F74-F75-F76</f>
        <v>-13.931535205479451</v>
      </c>
      <c r="G77" s="184">
        <f t="shared" si="26"/>
        <v>-17.380326023744296</v>
      </c>
      <c r="H77" s="184">
        <f t="shared" si="26"/>
        <v>-17.849669007305938</v>
      </c>
      <c r="I77" s="184">
        <f t="shared" si="26"/>
        <v>-15.298009213415529</v>
      </c>
      <c r="J77" s="184">
        <f t="shared" si="26"/>
        <v>-7.7407741610559837</v>
      </c>
      <c r="AS77" s="213">
        <v>18.11</v>
      </c>
      <c r="AT77" s="214" t="s">
        <v>146</v>
      </c>
      <c r="AU77" s="214" t="s">
        <v>147</v>
      </c>
    </row>
    <row r="78" spans="1:49" ht="15.75" thickBot="1" x14ac:dyDescent="0.3">
      <c r="A78" s="112" t="s">
        <v>37</v>
      </c>
      <c r="B78" s="112"/>
      <c r="C78" s="184"/>
      <c r="D78" s="184">
        <f>C77-D77</f>
        <v>6.4</v>
      </c>
      <c r="E78" s="135"/>
      <c r="F78" s="184">
        <f>D77-F77</f>
        <v>7.5315352054794502</v>
      </c>
      <c r="G78" s="184">
        <f t="shared" ref="G78:J78" si="27">F77-G77</f>
        <v>3.448790818264845</v>
      </c>
      <c r="H78" s="184">
        <f t="shared" si="27"/>
        <v>0.46934298356164206</v>
      </c>
      <c r="I78" s="184">
        <f t="shared" si="27"/>
        <v>-2.5516597938904084</v>
      </c>
      <c r="J78" s="184">
        <f t="shared" si="27"/>
        <v>-7.5572350523595455</v>
      </c>
      <c r="AS78" s="213">
        <v>18.12</v>
      </c>
      <c r="AT78" s="214" t="s">
        <v>148</v>
      </c>
      <c r="AU78" s="214" t="s">
        <v>149</v>
      </c>
    </row>
    <row r="79" spans="1:49" ht="15.75" thickBot="1" x14ac:dyDescent="0.3">
      <c r="A79" s="143" t="s">
        <v>38</v>
      </c>
      <c r="B79" s="112"/>
      <c r="C79" s="183"/>
      <c r="D79" s="216" t="s">
        <v>186</v>
      </c>
      <c r="E79" s="135"/>
      <c r="F79" s="183"/>
      <c r="G79" s="183"/>
      <c r="H79" s="183"/>
      <c r="I79" s="183"/>
      <c r="J79" s="183"/>
      <c r="AS79" s="213">
        <v>19.010000000000002</v>
      </c>
      <c r="AT79" s="214" t="s">
        <v>150</v>
      </c>
      <c r="AU79" s="214" t="s">
        <v>151</v>
      </c>
    </row>
    <row r="80" spans="1:49" ht="15.75" thickBot="1" x14ac:dyDescent="0.3">
      <c r="A80" s="143" t="s">
        <v>39</v>
      </c>
      <c r="B80" s="112"/>
      <c r="C80" s="183"/>
      <c r="D80" s="216" t="s">
        <v>186</v>
      </c>
      <c r="E80" s="135"/>
      <c r="F80" s="183">
        <v>15</v>
      </c>
      <c r="G80" s="183">
        <v>15</v>
      </c>
      <c r="H80" s="183">
        <v>15</v>
      </c>
      <c r="I80" s="183">
        <v>15</v>
      </c>
      <c r="J80" s="183">
        <v>15</v>
      </c>
      <c r="AS80" s="213">
        <v>19.02</v>
      </c>
      <c r="AT80" s="214" t="s">
        <v>152</v>
      </c>
      <c r="AU80" s="214" t="s">
        <v>153</v>
      </c>
    </row>
    <row r="81" spans="1:10" x14ac:dyDescent="0.25">
      <c r="A81" s="143" t="s">
        <v>40</v>
      </c>
      <c r="B81" s="112"/>
      <c r="C81" s="183"/>
      <c r="D81" s="216" t="s">
        <v>186</v>
      </c>
      <c r="E81" s="135"/>
      <c r="F81" s="183">
        <v>60</v>
      </c>
      <c r="G81" s="183">
        <v>60</v>
      </c>
      <c r="H81" s="183">
        <v>60</v>
      </c>
      <c r="I81" s="183">
        <v>60</v>
      </c>
      <c r="J81" s="183">
        <v>60</v>
      </c>
    </row>
    <row r="82" spans="1:10" x14ac:dyDescent="0.25">
      <c r="A82" s="143" t="s">
        <v>41</v>
      </c>
      <c r="B82" s="112"/>
      <c r="C82" s="133"/>
      <c r="D82" s="133">
        <v>0.2</v>
      </c>
      <c r="E82" s="217"/>
      <c r="F82" s="133">
        <v>0.2</v>
      </c>
      <c r="G82" s="133">
        <v>0.2</v>
      </c>
      <c r="H82" s="133">
        <v>0.2</v>
      </c>
      <c r="I82" s="133">
        <v>0.2</v>
      </c>
      <c r="J82" s="133">
        <v>0.2</v>
      </c>
    </row>
    <row r="83" spans="1:10" x14ac:dyDescent="0.25">
      <c r="A83" s="215"/>
      <c r="B83" s="215"/>
      <c r="C83" s="215"/>
      <c r="D83" s="215"/>
      <c r="E83" s="215"/>
      <c r="F83" s="215"/>
      <c r="G83" s="215"/>
      <c r="H83" s="215"/>
      <c r="I83" s="215"/>
      <c r="J83" s="215"/>
    </row>
  </sheetData>
  <mergeCells count="81">
    <mergeCell ref="BJ33:BL33"/>
    <mergeCell ref="O58:P60"/>
    <mergeCell ref="O62:P62"/>
    <mergeCell ref="O63:P65"/>
    <mergeCell ref="P44:Q44"/>
    <mergeCell ref="O46:Q46"/>
    <mergeCell ref="O50:P50"/>
    <mergeCell ref="O51:P53"/>
    <mergeCell ref="O57:P57"/>
    <mergeCell ref="BO21:BQ21"/>
    <mergeCell ref="N25:O25"/>
    <mergeCell ref="P25:R25"/>
    <mergeCell ref="P29:Q29"/>
    <mergeCell ref="R46:T46"/>
    <mergeCell ref="P43:Q43"/>
    <mergeCell ref="AJ33:AL33"/>
    <mergeCell ref="AO33:AQ33"/>
    <mergeCell ref="AT33:AV33"/>
    <mergeCell ref="AZ33:BB33"/>
    <mergeCell ref="BO33:BQ33"/>
    <mergeCell ref="P39:Q39"/>
    <mergeCell ref="P40:Q40"/>
    <mergeCell ref="P41:Q41"/>
    <mergeCell ref="P42:Q42"/>
    <mergeCell ref="BE33:BG33"/>
    <mergeCell ref="N14:O14"/>
    <mergeCell ref="AO14:AQ14"/>
    <mergeCell ref="Z32:AB32"/>
    <mergeCell ref="AE32:AG32"/>
    <mergeCell ref="BJ14:BL14"/>
    <mergeCell ref="N17:P17"/>
    <mergeCell ref="Z19:AB19"/>
    <mergeCell ref="Z20:AB20"/>
    <mergeCell ref="AE20:AG20"/>
    <mergeCell ref="AJ21:AL21"/>
    <mergeCell ref="AO21:AQ21"/>
    <mergeCell ref="AT21:AV21"/>
    <mergeCell ref="AZ21:BB21"/>
    <mergeCell ref="BE21:BG21"/>
    <mergeCell ref="AZ14:BB14"/>
    <mergeCell ref="BJ21:BL21"/>
    <mergeCell ref="BJ9:BL9"/>
    <mergeCell ref="BO9:BQ9"/>
    <mergeCell ref="N13:O13"/>
    <mergeCell ref="Z13:AB13"/>
    <mergeCell ref="AE13:AG13"/>
    <mergeCell ref="N12:P12"/>
    <mergeCell ref="Q12:R12"/>
    <mergeCell ref="AO9:AQ9"/>
    <mergeCell ref="AT9:AV9"/>
    <mergeCell ref="AZ5:BB5"/>
    <mergeCell ref="BE5:BG5"/>
    <mergeCell ref="N8:O8"/>
    <mergeCell ref="P8:R8"/>
    <mergeCell ref="Z8:AB8"/>
    <mergeCell ref="AE8:AG8"/>
    <mergeCell ref="AJ9:AL9"/>
    <mergeCell ref="AZ9:BB9"/>
    <mergeCell ref="BE9:BG9"/>
    <mergeCell ref="BJ5:BL5"/>
    <mergeCell ref="BO5:BQ5"/>
    <mergeCell ref="A4:B5"/>
    <mergeCell ref="N4:O4"/>
    <mergeCell ref="P4:R4"/>
    <mergeCell ref="Z4:AB4"/>
    <mergeCell ref="AE4:AG4"/>
    <mergeCell ref="AJ5:AL5"/>
    <mergeCell ref="AO5:AQ5"/>
    <mergeCell ref="AT5:AV5"/>
    <mergeCell ref="BQ3:BR3"/>
    <mergeCell ref="A2:C2"/>
    <mergeCell ref="D2:J2"/>
    <mergeCell ref="AG2:AH2"/>
    <mergeCell ref="AL2:AM2"/>
    <mergeCell ref="U3:V3"/>
    <mergeCell ref="W3:X3"/>
    <mergeCell ref="AQ3:AR3"/>
    <mergeCell ref="AV3:AW3"/>
    <mergeCell ref="BB3:BC3"/>
    <mergeCell ref="BG3:BH3"/>
    <mergeCell ref="BL3:BM3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BP Sophrokhepri</vt:lpstr>
      <vt:lpstr>BP corrigé par JSC 1er oct17</vt:lpstr>
      <vt:lpstr>'BP corrigé par JSC 1er oct17'!Zone_d_impression</vt:lpstr>
      <vt:lpstr>'BP Sophrokhepri'!Zone_d_impression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cp:lastPrinted>2017-10-02T12:05:16Z</cp:lastPrinted>
  <dcterms:created xsi:type="dcterms:W3CDTF">2015-01-28T10:39:50Z</dcterms:created>
  <dcterms:modified xsi:type="dcterms:W3CDTF">2017-10-02T17:23:21Z</dcterms:modified>
</cp:coreProperties>
</file>