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/>
  <bookViews>
    <workbookView xWindow="0" yWindow="45" windowWidth="15960" windowHeight="11760" firstSheet="2" activeTab="3"/>
  </bookViews>
  <sheets>
    <sheet name="1" sheetId="1" r:id="rId1"/>
    <sheet name="Compte de résultat" sheetId="2" r:id="rId2"/>
    <sheet name="TVA" sheetId="4" r:id="rId3"/>
    <sheet name=" Budget de Trésorerie." sheetId="5" r:id="rId4"/>
    <sheet name="Apport compt courant" sheetId="6" r:id="rId5"/>
    <sheet name="Charges" sheetId="7" r:id="rId6"/>
  </sheets>
  <calcPr calcId="125725"/>
</workbook>
</file>

<file path=xl/calcChain.xml><?xml version="1.0" encoding="utf-8"?>
<calcChain xmlns="http://schemas.openxmlformats.org/spreadsheetml/2006/main">
  <c r="N10" i="5"/>
  <c r="F39" i="7" l="1"/>
  <c r="M9"/>
  <c r="N9" s="1"/>
  <c r="M8"/>
  <c r="N16"/>
  <c r="N17"/>
  <c r="C19" i="5"/>
  <c r="D19"/>
  <c r="E19"/>
  <c r="F19"/>
  <c r="G19"/>
  <c r="H19"/>
  <c r="I19"/>
  <c r="J19"/>
  <c r="K19"/>
  <c r="L19"/>
  <c r="M19"/>
  <c r="B19"/>
  <c r="C14"/>
  <c r="D14"/>
  <c r="E14"/>
  <c r="F14"/>
  <c r="G14"/>
  <c r="H14"/>
  <c r="I14"/>
  <c r="J14"/>
  <c r="K14"/>
  <c r="L14"/>
  <c r="M14"/>
  <c r="B14"/>
  <c r="N20" i="7"/>
  <c r="N21"/>
  <c r="M20"/>
  <c r="M21"/>
  <c r="M17"/>
  <c r="M31"/>
  <c r="M6"/>
  <c r="M11"/>
  <c r="M12"/>
  <c r="L11"/>
  <c r="L31"/>
  <c r="L5"/>
  <c r="L24"/>
  <c r="L14"/>
  <c r="L25"/>
  <c r="K16"/>
  <c r="K31"/>
  <c r="K23"/>
  <c r="L23"/>
  <c r="M23"/>
  <c r="K11"/>
  <c r="K7"/>
  <c r="L7"/>
  <c r="M7"/>
  <c r="L12"/>
  <c r="K6"/>
  <c r="N6" s="1"/>
  <c r="J31"/>
  <c r="J11"/>
  <c r="I34"/>
  <c r="J34"/>
  <c r="J33"/>
  <c r="I33"/>
  <c r="N22"/>
  <c r="K22"/>
  <c r="L22"/>
  <c r="M22"/>
  <c r="J22"/>
  <c r="K12"/>
  <c r="J7"/>
  <c r="K19"/>
  <c r="L19"/>
  <c r="M19"/>
  <c r="J19"/>
  <c r="I31"/>
  <c r="I11"/>
  <c r="J23"/>
  <c r="I17"/>
  <c r="I12"/>
  <c r="I7"/>
  <c r="I6"/>
  <c r="I29"/>
  <c r="I27"/>
  <c r="N27" s="1"/>
  <c r="H23"/>
  <c r="I23"/>
  <c r="H11"/>
  <c r="N15"/>
  <c r="N18"/>
  <c r="N10"/>
  <c r="N24"/>
  <c r="N25"/>
  <c r="N26"/>
  <c r="N28"/>
  <c r="N29"/>
  <c r="I19"/>
  <c r="C35"/>
  <c r="D35"/>
  <c r="E35"/>
  <c r="F35"/>
  <c r="G35"/>
  <c r="H35"/>
  <c r="I35"/>
  <c r="J35"/>
  <c r="K35"/>
  <c r="L35"/>
  <c r="M35"/>
  <c r="C36"/>
  <c r="D36"/>
  <c r="E36"/>
  <c r="F36"/>
  <c r="G36"/>
  <c r="H36"/>
  <c r="I36"/>
  <c r="J36"/>
  <c r="K36"/>
  <c r="L36"/>
  <c r="M36"/>
  <c r="H34"/>
  <c r="C34"/>
  <c r="D34"/>
  <c r="E34"/>
  <c r="F34"/>
  <c r="G34"/>
  <c r="H33"/>
  <c r="H12"/>
  <c r="H31"/>
  <c r="H13"/>
  <c r="F23"/>
  <c r="G12"/>
  <c r="G11"/>
  <c r="G19"/>
  <c r="H19"/>
  <c r="G6"/>
  <c r="G5"/>
  <c r="H5"/>
  <c r="G30"/>
  <c r="G23"/>
  <c r="F11"/>
  <c r="F19"/>
  <c r="F24"/>
  <c r="E30"/>
  <c r="F30"/>
  <c r="F29"/>
  <c r="F31"/>
  <c r="E11"/>
  <c r="E19"/>
  <c r="E6"/>
  <c r="E8"/>
  <c r="E28"/>
  <c r="E31"/>
  <c r="E27"/>
  <c r="F26"/>
  <c r="F25"/>
  <c r="N12" l="1"/>
  <c r="N19"/>
  <c r="N31"/>
  <c r="N23"/>
  <c r="N11"/>
  <c r="D23"/>
  <c r="D5"/>
  <c r="D29"/>
  <c r="D30"/>
  <c r="C30"/>
  <c r="D12"/>
  <c r="C11"/>
  <c r="D19"/>
  <c r="C19"/>
  <c r="C32"/>
  <c r="D32"/>
  <c r="E32"/>
  <c r="F32"/>
  <c r="G32"/>
  <c r="H32"/>
  <c r="I32"/>
  <c r="J32"/>
  <c r="K32"/>
  <c r="L32"/>
  <c r="M32"/>
  <c r="C31"/>
  <c r="C18"/>
  <c r="D13"/>
  <c r="E13"/>
  <c r="F13"/>
  <c r="G13"/>
  <c r="I13"/>
  <c r="J13"/>
  <c r="K13"/>
  <c r="L13"/>
  <c r="C13"/>
  <c r="C15"/>
  <c r="C7"/>
  <c r="D7"/>
  <c r="E7"/>
  <c r="F7"/>
  <c r="G7"/>
  <c r="H7"/>
  <c r="B7"/>
  <c r="C6"/>
  <c r="B31"/>
  <c r="B11"/>
  <c r="B36"/>
  <c r="N36" s="1"/>
  <c r="B35"/>
  <c r="N35" s="1"/>
  <c r="B32"/>
  <c r="B34"/>
  <c r="N34" s="1"/>
  <c r="C5"/>
  <c r="E5"/>
  <c r="F5"/>
  <c r="I5"/>
  <c r="J5"/>
  <c r="J37" s="1"/>
  <c r="K5"/>
  <c r="M5"/>
  <c r="B5"/>
  <c r="C4"/>
  <c r="D4"/>
  <c r="E4"/>
  <c r="F4"/>
  <c r="G4"/>
  <c r="H4"/>
  <c r="H37" s="1"/>
  <c r="I4"/>
  <c r="J4"/>
  <c r="K4"/>
  <c r="L4"/>
  <c r="L37" s="1"/>
  <c r="M4"/>
  <c r="B4"/>
  <c r="N33"/>
  <c r="N8"/>
  <c r="N3"/>
  <c r="N2"/>
  <c r="N13" l="1"/>
  <c r="N7"/>
  <c r="E37"/>
  <c r="I37"/>
  <c r="F37"/>
  <c r="M37"/>
  <c r="N5"/>
  <c r="N30"/>
  <c r="D37"/>
  <c r="N32"/>
  <c r="K37"/>
  <c r="G37"/>
  <c r="C37"/>
  <c r="B37"/>
  <c r="N4"/>
  <c r="N37" l="1"/>
  <c r="J42" s="1"/>
  <c r="N23" i="4" l="1"/>
  <c r="N18"/>
  <c r="N19"/>
  <c r="N20"/>
  <c r="N21"/>
  <c r="C17"/>
  <c r="D17"/>
  <c r="E17"/>
  <c r="F17"/>
  <c r="G17"/>
  <c r="H17"/>
  <c r="I17"/>
  <c r="J17"/>
  <c r="K17"/>
  <c r="L17"/>
  <c r="M17"/>
  <c r="B17"/>
  <c r="N17" s="1"/>
  <c r="C16"/>
  <c r="D16"/>
  <c r="E16"/>
  <c r="F16"/>
  <c r="G16"/>
  <c r="H16"/>
  <c r="I16"/>
  <c r="J16"/>
  <c r="K16"/>
  <c r="L16"/>
  <c r="M16"/>
  <c r="B16"/>
  <c r="N16" s="1"/>
  <c r="C15"/>
  <c r="D15"/>
  <c r="E15"/>
  <c r="F15"/>
  <c r="G15"/>
  <c r="H15"/>
  <c r="I15"/>
  <c r="J15"/>
  <c r="K15"/>
  <c r="L15"/>
  <c r="M15"/>
  <c r="B15"/>
  <c r="N15" s="1"/>
  <c r="C14"/>
  <c r="D14"/>
  <c r="E14"/>
  <c r="F14"/>
  <c r="G14"/>
  <c r="H14"/>
  <c r="I14"/>
  <c r="J14"/>
  <c r="K14"/>
  <c r="L14"/>
  <c r="M14"/>
  <c r="B14"/>
  <c r="C11"/>
  <c r="D11"/>
  <c r="E11"/>
  <c r="F11"/>
  <c r="G11"/>
  <c r="H11"/>
  <c r="I11"/>
  <c r="J11"/>
  <c r="K11"/>
  <c r="L11"/>
  <c r="M11"/>
  <c r="B11"/>
  <c r="N11" s="1"/>
  <c r="C12"/>
  <c r="D12"/>
  <c r="E12"/>
  <c r="F12"/>
  <c r="G12"/>
  <c r="H12"/>
  <c r="I12"/>
  <c r="J12"/>
  <c r="K12"/>
  <c r="L12"/>
  <c r="M12"/>
  <c r="B12"/>
  <c r="N12" s="1"/>
  <c r="C13"/>
  <c r="D13"/>
  <c r="E13"/>
  <c r="F13"/>
  <c r="G13"/>
  <c r="H13"/>
  <c r="I13"/>
  <c r="J13"/>
  <c r="K13"/>
  <c r="L13"/>
  <c r="M13"/>
  <c r="B13"/>
  <c r="N13" s="1"/>
  <c r="N41" i="5"/>
  <c r="N17"/>
  <c r="N18"/>
  <c r="N19"/>
  <c r="N20"/>
  <c r="N21"/>
  <c r="N22"/>
  <c r="N23"/>
  <c r="N24"/>
  <c r="N25"/>
  <c r="N26"/>
  <c r="N28"/>
  <c r="N30"/>
  <c r="N31"/>
  <c r="N32"/>
  <c r="N33"/>
  <c r="N34"/>
  <c r="N35"/>
  <c r="N36"/>
  <c r="N37"/>
  <c r="N39"/>
  <c r="N15"/>
  <c r="N4"/>
  <c r="N5"/>
  <c r="B14" i="6"/>
  <c r="B14" i="2"/>
  <c r="N14" i="4" l="1"/>
  <c r="G7"/>
  <c r="H7"/>
  <c r="I7"/>
  <c r="J7"/>
  <c r="K7"/>
  <c r="L7"/>
  <c r="M7"/>
  <c r="I6"/>
  <c r="K6"/>
  <c r="L6"/>
  <c r="G5"/>
  <c r="H5"/>
  <c r="I5"/>
  <c r="J5"/>
  <c r="K5"/>
  <c r="L5"/>
  <c r="G4"/>
  <c r="L4"/>
  <c r="M6"/>
  <c r="H7" i="5"/>
  <c r="N7" s="1"/>
  <c r="G6"/>
  <c r="G6" i="4" s="1"/>
  <c r="H4"/>
  <c r="F6"/>
  <c r="F5"/>
  <c r="F4"/>
  <c r="H6" i="5" l="1"/>
  <c r="H6" i="4" s="1"/>
  <c r="J6"/>
  <c r="N6" i="5" l="1"/>
  <c r="N12" s="1"/>
  <c r="J41" i="7" s="1"/>
  <c r="J43" s="1"/>
  <c r="I4" i="4"/>
  <c r="M5"/>
  <c r="N8" i="5"/>
  <c r="N6" i="2"/>
  <c r="C6" i="4"/>
  <c r="N7" i="2"/>
  <c r="B6" i="4"/>
  <c r="N6" s="1"/>
  <c r="D6"/>
  <c r="E6"/>
  <c r="N8" i="2"/>
  <c r="F7" i="4"/>
  <c r="E7"/>
  <c r="D7"/>
  <c r="N11" i="5"/>
  <c r="J4" i="4" l="1"/>
  <c r="E5"/>
  <c r="E4"/>
  <c r="D5"/>
  <c r="N5" s="1"/>
  <c r="D4"/>
  <c r="C7"/>
  <c r="C5"/>
  <c r="C4"/>
  <c r="B7"/>
  <c r="N7" s="1"/>
  <c r="B5"/>
  <c r="B4"/>
  <c r="G29" i="5"/>
  <c r="F29"/>
  <c r="E29"/>
  <c r="M27"/>
  <c r="M29" s="1"/>
  <c r="L27"/>
  <c r="L29" s="1"/>
  <c r="K27"/>
  <c r="K29" s="1"/>
  <c r="J27"/>
  <c r="J29" s="1"/>
  <c r="I27"/>
  <c r="I29" s="1"/>
  <c r="H27"/>
  <c r="H29" s="1"/>
  <c r="G27"/>
  <c r="F27"/>
  <c r="E27"/>
  <c r="D27"/>
  <c r="D29" s="1"/>
  <c r="C27"/>
  <c r="C29" s="1"/>
  <c r="B27"/>
  <c r="K16"/>
  <c r="H16"/>
  <c r="E16"/>
  <c r="B16"/>
  <c r="N16" s="1"/>
  <c r="N14"/>
  <c r="M12"/>
  <c r="L12"/>
  <c r="K12"/>
  <c r="J12"/>
  <c r="I12"/>
  <c r="H12"/>
  <c r="G12"/>
  <c r="F12"/>
  <c r="E12"/>
  <c r="D12"/>
  <c r="C12"/>
  <c r="B12"/>
  <c r="B29" l="1"/>
  <c r="N29" s="1"/>
  <c r="N27"/>
  <c r="M4" i="4"/>
  <c r="M9" s="1"/>
  <c r="K4"/>
  <c r="L9"/>
  <c r="J9"/>
  <c r="I9"/>
  <c r="H9"/>
  <c r="G9"/>
  <c r="F9"/>
  <c r="E9"/>
  <c r="D9"/>
  <c r="C9"/>
  <c r="B9"/>
  <c r="M10" i="2"/>
  <c r="L10"/>
  <c r="K10"/>
  <c r="J10"/>
  <c r="I10"/>
  <c r="H10"/>
  <c r="G10"/>
  <c r="E10"/>
  <c r="F10"/>
  <c r="M27"/>
  <c r="L27"/>
  <c r="K27"/>
  <c r="J27"/>
  <c r="I27"/>
  <c r="H27"/>
  <c r="G27"/>
  <c r="F27"/>
  <c r="E27"/>
  <c r="D27"/>
  <c r="C27"/>
  <c r="B27"/>
  <c r="N19"/>
  <c r="C10"/>
  <c r="B10"/>
  <c r="D10"/>
  <c r="K9" i="4" l="1"/>
  <c r="N9" s="1"/>
  <c r="N4"/>
  <c r="N10" i="2"/>
  <c r="K14"/>
  <c r="K25"/>
  <c r="H14"/>
  <c r="E14"/>
  <c r="L25"/>
  <c r="N12"/>
  <c r="N13"/>
  <c r="N15"/>
  <c r="N17"/>
  <c r="N18"/>
  <c r="N22"/>
  <c r="N29"/>
  <c r="N31"/>
  <c r="M25" l="1"/>
  <c r="F25"/>
  <c r="N34"/>
  <c r="G25"/>
  <c r="N32"/>
  <c r="N5"/>
  <c r="C25"/>
  <c r="D25"/>
  <c r="H25"/>
  <c r="K37"/>
  <c r="J25"/>
  <c r="E22" i="4"/>
  <c r="B25" i="2"/>
  <c r="L37"/>
  <c r="L39" s="1"/>
  <c r="N21"/>
  <c r="N14"/>
  <c r="K39" l="1"/>
  <c r="N23"/>
  <c r="G37"/>
  <c r="G39" s="1"/>
  <c r="N35"/>
  <c r="M37"/>
  <c r="M39" s="1"/>
  <c r="I25"/>
  <c r="E25"/>
  <c r="G22" i="4"/>
  <c r="G24" s="1"/>
  <c r="G38" i="5" s="1"/>
  <c r="G40" s="1"/>
  <c r="G42" s="1"/>
  <c r="E24" i="4"/>
  <c r="E38" i="5" s="1"/>
  <c r="E40" s="1"/>
  <c r="E42" s="1"/>
  <c r="D37" i="2"/>
  <c r="D39" s="1"/>
  <c r="B22" i="4"/>
  <c r="L22"/>
  <c r="L24" s="1"/>
  <c r="L38" i="5" s="1"/>
  <c r="L40" s="1"/>
  <c r="L42" s="1"/>
  <c r="J37" i="2"/>
  <c r="J39" s="1"/>
  <c r="C22" i="4"/>
  <c r="K22"/>
  <c r="K24" s="1"/>
  <c r="K38" i="5" s="1"/>
  <c r="K40" s="1"/>
  <c r="K42" s="1"/>
  <c r="C37" i="2"/>
  <c r="C39" s="1"/>
  <c r="H37"/>
  <c r="H39" s="1"/>
  <c r="F22" i="4"/>
  <c r="F24" s="1"/>
  <c r="F38" i="5" s="1"/>
  <c r="F37" i="2"/>
  <c r="F39" s="1"/>
  <c r="F40" i="5" l="1"/>
  <c r="F42" s="1"/>
  <c r="I37" i="2"/>
  <c r="I39" s="1"/>
  <c r="E37"/>
  <c r="E39" s="1"/>
  <c r="N25"/>
  <c r="M22" i="4"/>
  <c r="M24" s="1"/>
  <c r="M38" i="5" s="1"/>
  <c r="M40" s="1"/>
  <c r="M42" s="1"/>
  <c r="C24" i="4"/>
  <c r="C38" i="5" s="1"/>
  <c r="C40" s="1"/>
  <c r="C42" s="1"/>
  <c r="N16" i="2"/>
  <c r="B37"/>
  <c r="B39" s="1"/>
  <c r="B40" s="1"/>
  <c r="C40" s="1"/>
  <c r="D40" s="1"/>
  <c r="B24" i="4"/>
  <c r="I22"/>
  <c r="I24" s="1"/>
  <c r="I38" i="5" s="1"/>
  <c r="I40" s="1"/>
  <c r="I42" s="1"/>
  <c r="D22" i="4"/>
  <c r="B38" i="5" l="1"/>
  <c r="B40" s="1"/>
  <c r="E40" i="2"/>
  <c r="F40" s="1"/>
  <c r="G40" s="1"/>
  <c r="H40" s="1"/>
  <c r="I40" s="1"/>
  <c r="J40" s="1"/>
  <c r="K40" s="1"/>
  <c r="L40" s="1"/>
  <c r="M40" s="1"/>
  <c r="N27"/>
  <c r="N37" s="1"/>
  <c r="N39" s="1"/>
  <c r="H22" i="4"/>
  <c r="D24"/>
  <c r="D38" i="5" s="1"/>
  <c r="D40" s="1"/>
  <c r="D42" s="1"/>
  <c r="J22" i="4"/>
  <c r="J24" s="1"/>
  <c r="J38" i="5" s="1"/>
  <c r="H24" i="4" l="1"/>
  <c r="H38" i="5" s="1"/>
  <c r="H40" s="1"/>
  <c r="H42" s="1"/>
  <c r="N22" i="4"/>
  <c r="B42" i="5"/>
  <c r="J40"/>
  <c r="J42" s="1"/>
  <c r="N24" i="4" l="1"/>
  <c r="N38" i="5"/>
  <c r="N40"/>
  <c r="B43"/>
  <c r="C43" s="1"/>
  <c r="D43" s="1"/>
  <c r="E43" s="1"/>
  <c r="F43" s="1"/>
  <c r="G43" s="1"/>
  <c r="H43" s="1"/>
  <c r="I43" s="1"/>
  <c r="J43" s="1"/>
  <c r="K43" s="1"/>
  <c r="L43" s="1"/>
  <c r="M43" s="1"/>
  <c r="N42"/>
</calcChain>
</file>

<file path=xl/sharedStrings.xml><?xml version="1.0" encoding="utf-8"?>
<sst xmlns="http://schemas.openxmlformats.org/spreadsheetml/2006/main" count="188" uniqueCount="122">
  <si>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</si>
  <si>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</si>
  <si>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</si>
  <si>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</si>
  <si>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</si>
  <si>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</si>
  <si>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</si>
  <si>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</si>
  <si>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</si>
  <si>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</si>
  <si>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</si>
  <si>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</si>
  <si>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Loyers</t>
  </si>
  <si>
    <t>(non soumis à TVA)</t>
  </si>
  <si>
    <t>Frais d'entretien</t>
  </si>
  <si>
    <t>Assurance</t>
  </si>
  <si>
    <t>Frais de télécommunication</t>
  </si>
  <si>
    <t>Taxe professionnelle</t>
  </si>
  <si>
    <t>Charges sociales</t>
  </si>
  <si>
    <t>TOTAL</t>
  </si>
  <si>
    <t>PRODUITS</t>
  </si>
  <si>
    <t>TOTAL PRODUITS</t>
  </si>
  <si>
    <t>S/Total salaires</t>
  </si>
  <si>
    <t>Charges Financières</t>
  </si>
  <si>
    <t>Interêts d'emprunt</t>
  </si>
  <si>
    <t>Dotations aux amts</t>
  </si>
  <si>
    <t>Dotations aux prov.</t>
  </si>
  <si>
    <t>Total des charges</t>
  </si>
  <si>
    <t>Résultat mensuel</t>
  </si>
  <si>
    <t>Résultat cumulé</t>
  </si>
  <si>
    <t>Investissements</t>
  </si>
  <si>
    <t>TVA</t>
  </si>
  <si>
    <t>TVA COLLECTEE</t>
  </si>
  <si>
    <t>TVA DEDUCTIBLE</t>
  </si>
  <si>
    <t>Tva déductible</t>
  </si>
  <si>
    <t>TVA A PAYER</t>
  </si>
  <si>
    <t xml:space="preserve">CA Patients </t>
  </si>
  <si>
    <t>CA intervenant adhésion</t>
  </si>
  <si>
    <t>CA forfait mensuel variable</t>
  </si>
  <si>
    <t>CA intervenant forfait fixe</t>
  </si>
  <si>
    <t>Edf</t>
  </si>
  <si>
    <t>Frais de scolarité</t>
  </si>
  <si>
    <t xml:space="preserve">Frais d'honoraire </t>
  </si>
  <si>
    <t>Publicité: (doctolib,journal gratuit,p.j,relation publique pro)</t>
  </si>
  <si>
    <t xml:space="preserve"> </t>
  </si>
  <si>
    <t>Salaires Controleur de Gestion</t>
  </si>
  <si>
    <t xml:space="preserve">Salaires Manager </t>
  </si>
  <si>
    <t xml:space="preserve">Indemnité stagiare </t>
  </si>
  <si>
    <t xml:space="preserve">Autorisation decouvert </t>
  </si>
  <si>
    <t xml:space="preserve">Taux de croissance </t>
  </si>
  <si>
    <t>PROGESSION</t>
  </si>
  <si>
    <t>SEP-DEC</t>
  </si>
  <si>
    <t>JANV-JUIL</t>
  </si>
  <si>
    <t>AOUT</t>
  </si>
  <si>
    <t>Consommation en provenance d'un tiers /Autre charge externe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</si>
  <si>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</si>
  <si>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</si>
  <si>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</si>
  <si>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</si>
  <si>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</si>
  <si>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</si>
  <si>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</si>
  <si>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</si>
  <si>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</si>
  <si>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</si>
  <si>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</si>
  <si>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</si>
  <si>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Apport en compte courant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</si>
  <si>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</si>
  <si>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</si>
  <si>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</si>
  <si>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</si>
  <si>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</si>
  <si>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</si>
  <si>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</si>
  <si>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</si>
  <si>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</si>
  <si>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</si>
  <si>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</si>
  <si>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</si>
  <si>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Frais d'honoraire (Comptabilité)</t>
  </si>
  <si>
    <t>Publicité: (doctolib,journal gratuit,p.j,relation publique pro,Résalib)</t>
  </si>
  <si>
    <t>Charges/Mois</t>
  </si>
  <si>
    <t>Total</t>
  </si>
  <si>
    <t>CDD</t>
  </si>
  <si>
    <t>Loyer</t>
  </si>
  <si>
    <t>Free mobile</t>
  </si>
  <si>
    <t>Free telecom</t>
  </si>
  <si>
    <t>EDF</t>
  </si>
  <si>
    <t xml:space="preserve">Honoraire </t>
  </si>
  <si>
    <t xml:space="preserve">Remboursement TVA </t>
  </si>
  <si>
    <t xml:space="preserve">Assistante </t>
  </si>
  <si>
    <t>URSSAF</t>
  </si>
  <si>
    <t>Journal gratuit</t>
  </si>
  <si>
    <t>Autre</t>
  </si>
  <si>
    <t>Protection Pro</t>
  </si>
  <si>
    <t>remboursement (22700)</t>
  </si>
  <si>
    <t>remboursement (40000)</t>
  </si>
  <si>
    <t xml:space="preserve">Échéance prêt </t>
  </si>
  <si>
    <t xml:space="preserve">Echeance prêt </t>
  </si>
  <si>
    <t xml:space="preserve">Entrée fixe  </t>
  </si>
  <si>
    <t xml:space="preserve">Sortie fixe </t>
  </si>
  <si>
    <t>Impôts</t>
  </si>
  <si>
    <t>FFE</t>
  </si>
  <si>
    <t>call pact</t>
  </si>
  <si>
    <t>Doctolib</t>
  </si>
  <si>
    <t>SOCOTEC</t>
  </si>
  <si>
    <t>Pages jaunes doc</t>
  </si>
  <si>
    <t>INPI</t>
  </si>
  <si>
    <t>APCE</t>
  </si>
  <si>
    <t>STATISTA GMBH</t>
  </si>
  <si>
    <t>Expo dispo</t>
  </si>
  <si>
    <t>MATMUT</t>
  </si>
  <si>
    <t>HUMANIS</t>
  </si>
  <si>
    <t>Résalib</t>
  </si>
  <si>
    <t>Stagiaire</t>
  </si>
  <si>
    <t>FORMATION DG</t>
  </si>
  <si>
    <t>CLEANSET</t>
  </si>
  <si>
    <t>CRISTAL AIR</t>
  </si>
  <si>
    <t xml:space="preserve"> ménage </t>
  </si>
  <si>
    <t>ESCG</t>
  </si>
  <si>
    <t>AGENCE DE PAYEMENT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</si>
</sst>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&quot; &quot;* #,##0&quot;   &quot;;&quot;-&quot;* #,##0&quot;   &quot;;&quot; &quot;* &quot;-&quot;??&quot;   &quot;"/>
    <numFmt numFmtId="165" formatCode="_-* #,##0.00\ [$€-40C]_-;\-* #,##0.00\ [$€-40C]_-;_-* &quot;-&quot;??\ [$€-40C]_-;_-@_-"/>
  </numFmts>
  <fonts count="9">
    <font>
      <sz val="10"/>
      <color indexed="8"/>
      <name val="Arial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1"/>
      <name val="Arial"/>
      <family val="2"/>
    </font>
    <font>
      <b/>
      <sz val="10"/>
      <color indexed="11"/>
      <name val="Arial"/>
      <family val="2"/>
    </font>
    <font>
      <i/>
      <sz val="10"/>
      <color indexed="1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9" fontId="6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49" fontId="0" fillId="2" borderId="1" xfId="0" applyNumberFormat="1" applyFont="1" applyFill="1" applyBorder="1" applyAlignment="1"/>
    <xf numFmtId="164" fontId="0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49" fontId="0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/>
    <xf numFmtId="164" fontId="3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0" borderId="0" xfId="0" applyNumberFormat="1" applyFont="1" applyAlignment="1"/>
    <xf numFmtId="49" fontId="5" fillId="2" borderId="1" xfId="0" applyNumberFormat="1" applyFont="1" applyFill="1" applyBorder="1" applyAlignment="1"/>
    <xf numFmtId="164" fontId="5" fillId="2" borderId="1" xfId="0" applyNumberFormat="1" applyFont="1" applyFill="1" applyBorder="1" applyAlignment="1"/>
    <xf numFmtId="49" fontId="0" fillId="2" borderId="1" xfId="0" applyNumberFormat="1" applyFill="1" applyBorder="1" applyAlignment="1"/>
    <xf numFmtId="0" fontId="0" fillId="2" borderId="1" xfId="0" applyFill="1" applyBorder="1" applyAlignment="1"/>
    <xf numFmtId="164" fontId="0" fillId="3" borderId="1" xfId="0" applyNumberFormat="1" applyFont="1" applyFill="1" applyBorder="1" applyAlignment="1"/>
    <xf numFmtId="0" fontId="0" fillId="3" borderId="1" xfId="0" applyFont="1" applyFill="1" applyBorder="1" applyAlignment="1"/>
    <xf numFmtId="49" fontId="0" fillId="3" borderId="1" xfId="0" applyNumberFormat="1" applyFont="1" applyFill="1" applyBorder="1" applyAlignment="1">
      <alignment horizontal="center"/>
    </xf>
    <xf numFmtId="0" fontId="0" fillId="3" borderId="0" xfId="0" applyNumberFormat="1" applyFont="1" applyFill="1" applyAlignment="1"/>
    <xf numFmtId="164" fontId="0" fillId="3" borderId="1" xfId="0" applyNumberFormat="1" applyFill="1" applyBorder="1" applyAlignment="1"/>
    <xf numFmtId="49" fontId="0" fillId="2" borderId="1" xfId="0" applyNumberFormat="1" applyFill="1" applyBorder="1" applyAlignment="1">
      <alignment horizontal="left" wrapText="1"/>
    </xf>
    <xf numFmtId="49" fontId="0" fillId="4" borderId="1" xfId="0" applyNumberFormat="1" applyFont="1" applyFill="1" applyBorder="1" applyAlignment="1"/>
    <xf numFmtId="164" fontId="0" fillId="4" borderId="1" xfId="0" applyNumberFormat="1" applyFont="1" applyFill="1" applyBorder="1" applyAlignment="1"/>
    <xf numFmtId="49" fontId="0" fillId="4" borderId="1" xfId="0" applyNumberFormat="1" applyFill="1" applyBorder="1" applyAlignment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5" borderId="1" xfId="0" applyNumberFormat="1" applyFont="1" applyFill="1" applyBorder="1" applyAlignment="1"/>
    <xf numFmtId="164" fontId="0" fillId="5" borderId="1" xfId="0" applyNumberFormat="1" applyFont="1" applyFill="1" applyBorder="1" applyAlignment="1"/>
    <xf numFmtId="164" fontId="0" fillId="5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left" indent="3"/>
    </xf>
    <xf numFmtId="164" fontId="0" fillId="3" borderId="1" xfId="0" applyNumberFormat="1" applyFont="1" applyFill="1" applyBorder="1" applyAlignment="1">
      <alignment horizontal="left" indent="1"/>
    </xf>
    <xf numFmtId="0" fontId="7" fillId="0" borderId="2" xfId="0" applyNumberFormat="1" applyFont="1" applyBorder="1" applyAlignment="1"/>
    <xf numFmtId="0" fontId="0" fillId="0" borderId="2" xfId="0" applyNumberFormat="1" applyFont="1" applyBorder="1" applyAlignment="1"/>
    <xf numFmtId="9" fontId="0" fillId="0" borderId="2" xfId="1" applyFont="1" applyBorder="1" applyAlignment="1">
      <alignment horizontal="center"/>
    </xf>
    <xf numFmtId="0" fontId="6" fillId="4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/>
    <xf numFmtId="49" fontId="6" fillId="3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0" borderId="2" xfId="0" applyFont="1" applyBorder="1" applyAlignment="1"/>
    <xf numFmtId="44" fontId="0" fillId="0" borderId="2" xfId="2" applyFont="1" applyBorder="1" applyAlignment="1"/>
    <xf numFmtId="49" fontId="6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164" fontId="6" fillId="3" borderId="1" xfId="0" applyNumberFormat="1" applyFont="1" applyFill="1" applyBorder="1" applyAlignment="1"/>
    <xf numFmtId="0" fontId="0" fillId="6" borderId="2" xfId="0" applyFill="1" applyBorder="1"/>
    <xf numFmtId="0" fontId="0" fillId="7" borderId="2" xfId="0" applyFill="1" applyBorder="1"/>
    <xf numFmtId="0" fontId="0" fillId="0" borderId="0" xfId="0"/>
    <xf numFmtId="165" fontId="0" fillId="0" borderId="2" xfId="0" applyNumberFormat="1" applyBorder="1" applyAlignment="1">
      <alignment horizontal="center"/>
    </xf>
    <xf numFmtId="0" fontId="0" fillId="4" borderId="2" xfId="0" applyFill="1" applyBorder="1"/>
    <xf numFmtId="165" fontId="0" fillId="4" borderId="2" xfId="0" applyNumberFormat="1" applyFill="1" applyBorder="1"/>
    <xf numFmtId="165" fontId="0" fillId="0" borderId="0" xfId="0" applyNumberFormat="1"/>
    <xf numFmtId="0" fontId="0" fillId="0" borderId="0" xfId="0" applyAlignment="1">
      <alignment vertical="center"/>
    </xf>
    <xf numFmtId="0" fontId="0" fillId="0" borderId="2" xfId="0" applyBorder="1"/>
    <xf numFmtId="0" fontId="0" fillId="0" borderId="0" xfId="0" applyBorder="1"/>
    <xf numFmtId="0" fontId="6" fillId="7" borderId="2" xfId="0" applyFont="1" applyFill="1" applyBorder="1"/>
    <xf numFmtId="165" fontId="0" fillId="0" borderId="2" xfId="0" applyNumberFormat="1" applyBorder="1"/>
    <xf numFmtId="165" fontId="0" fillId="0" borderId="0" xfId="0" applyNumberFormat="1" applyAlignment="1">
      <alignment vertical="center"/>
    </xf>
    <xf numFmtId="0" fontId="0" fillId="3" borderId="2" xfId="0" applyFill="1" applyBorder="1"/>
    <xf numFmtId="165" fontId="0" fillId="3" borderId="2" xfId="0" applyNumberFormat="1" applyFill="1" applyBorder="1" applyAlignment="1">
      <alignment horizontal="center"/>
    </xf>
    <xf numFmtId="0" fontId="6" fillId="3" borderId="2" xfId="0" applyFont="1" applyFill="1" applyBorder="1"/>
  </cellXfs>
  <cellStyles count="3">
    <cellStyle name="Monétaire" xfId="2" builtinId="4"/>
    <cellStyle name="Normal" xfId="0" builtinId="0"/>
    <cellStyle name="Pourcentage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080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50"/>
  <sheetViews>
    <sheetView showGridLines="0" topLeftCell="A43" zoomScale="70" zoomScaleNormal="70" workbookViewId="0">
      <selection activeCell="C62" sqref="C62"/>
    </sheetView>
  </sheetViews>
  <sheetFormatPr baseColWidth="10" defaultColWidth="11.42578125" defaultRowHeight="13.15" customHeight="1"/>
  <cols>
    <col min="1" max="1" width="26.85546875" style="1" customWidth="1"/>
    <col min="2" max="2" width="27.42578125" style="1" customWidth="1"/>
    <col min="3" max="3" width="23.42578125" style="1" customWidth="1"/>
    <col min="4" max="4" width="17" style="1" customWidth="1"/>
    <col min="5" max="12" width="11.42578125" style="1" customWidth="1"/>
    <col min="13" max="13" width="22" style="1" customWidth="1"/>
    <col min="14" max="256" width="11.42578125" style="1" customWidth="1"/>
  </cols>
  <sheetData>
    <row r="1" spans="1:13" ht="13.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3.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3.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3.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3.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7.45" customHeight="1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3.1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13.1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13.1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3.1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3.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3.15" customHeight="1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3.15" customHeight="1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3.15" customHeight="1">
      <c r="A14" s="4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3.15" customHeight="1">
      <c r="A15" s="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3.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3.15" customHeight="1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3.15" customHeight="1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3.15" customHeight="1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3.15" customHeight="1">
      <c r="A20" s="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3.15" customHeight="1">
      <c r="A21" s="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3.15" customHeight="1">
      <c r="A22" s="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3.15" customHeight="1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3.15" customHeight="1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3.15" customHeight="1">
      <c r="A25" s="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3.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3.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3.15" customHeight="1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3.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3.15" customHeight="1">
      <c r="A30" s="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3.15" customHeight="1">
      <c r="A31" s="2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3.15" customHeight="1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3.15" customHeight="1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2" customHeight="1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3.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3.15" customHeight="1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3.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3.15" customHeight="1">
      <c r="A38" s="2"/>
      <c r="B38" s="8"/>
      <c r="C38" s="8"/>
      <c r="D38" s="9"/>
      <c r="E38" s="2"/>
      <c r="F38" s="2"/>
      <c r="G38" s="2"/>
      <c r="H38" s="2"/>
      <c r="I38" s="2"/>
      <c r="J38" s="2"/>
      <c r="K38" s="2"/>
      <c r="L38" s="2"/>
      <c r="M38" s="2"/>
    </row>
    <row r="39" spans="1:13" ht="13.15" customHeight="1">
      <c r="A39" s="4"/>
      <c r="B39" s="10"/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3.15" customHeight="1">
      <c r="A40" s="4"/>
      <c r="B40" s="10"/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3.15" customHeight="1">
      <c r="A41" s="4"/>
      <c r="B41" s="5"/>
      <c r="C41" s="5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3.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3.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3.15" customHeight="1">
      <c r="A44" s="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3.15" customHeight="1">
      <c r="A45" s="2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</row>
    <row r="46" spans="1:13" ht="13.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3.15" customHeight="1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3.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3.15" customHeight="1">
      <c r="A49" s="2"/>
      <c r="B49" s="6"/>
      <c r="C49" s="6"/>
      <c r="D49" s="6"/>
      <c r="E49" s="6"/>
      <c r="F49" s="2"/>
      <c r="G49" s="2"/>
      <c r="H49" s="2"/>
      <c r="I49" s="2"/>
      <c r="J49" s="2"/>
      <c r="K49" s="2"/>
      <c r="L49" s="2"/>
      <c r="M49" s="2"/>
    </row>
    <row r="50" spans="1:13" ht="13.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3.15" customHeight="1">
      <c r="A51" s="4"/>
      <c r="B51" s="5"/>
      <c r="C51" s="5"/>
      <c r="D51" s="5"/>
      <c r="E51" s="5"/>
      <c r="F51" s="2"/>
      <c r="G51" s="2"/>
      <c r="H51" s="2"/>
      <c r="I51" s="2"/>
      <c r="J51" s="2"/>
      <c r="K51" s="2"/>
      <c r="L51" s="2"/>
      <c r="M51" s="2"/>
    </row>
    <row r="52" spans="1:13" ht="13.15" customHeight="1">
      <c r="A52" s="4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3.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3.15" customHeight="1">
      <c r="A54" s="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3.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3.15" customHeight="1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3.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3.15" customHeight="1">
      <c r="A58" s="4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3.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3.15" customHeight="1">
      <c r="A60" s="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3.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3.15" customHeight="1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3.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3.15" customHeight="1">
      <c r="A64" s="4"/>
      <c r="B64" s="5"/>
      <c r="C64" s="4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3.15" customHeight="1">
      <c r="A65" s="4"/>
      <c r="B65" s="5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3.15" customHeight="1">
      <c r="A66" s="4"/>
      <c r="B66" s="5">
        <v>1000</v>
      </c>
      <c r="C66" s="4" t="s">
        <v>13</v>
      </c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3.15" customHeight="1">
      <c r="A67" s="4"/>
      <c r="B67" s="5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ht="13.15" customHeight="1">
      <c r="A68" s="4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ht="13.15" customHeight="1">
      <c r="A69" s="4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ht="13.15" customHeight="1">
      <c r="A70" s="4"/>
      <c r="B70" s="5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ht="13.15" customHeight="1">
      <c r="A71" s="4"/>
      <c r="B71" s="5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ht="13.1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13.15" customHeight="1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ht="13.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3.1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3.15" customHeight="1">
      <c r="A76" s="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3.1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3.15" customHeight="1">
      <c r="A78" s="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3.1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3.15" customHeight="1">
      <c r="A80" s="4"/>
      <c r="B80" s="5"/>
      <c r="C80" s="4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3.15" customHeight="1">
      <c r="A81" s="4"/>
      <c r="B81" s="5"/>
      <c r="C81" s="4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3.15" customHeight="1">
      <c r="A82" s="4"/>
      <c r="B82" s="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ht="13.1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ht="13.15" customHeight="1">
      <c r="A84" s="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13.1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ht="13.15" customHeight="1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ht="13.1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ht="13.15" customHeight="1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ht="13.1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ht="13.1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ht="13.15" customHeight="1">
      <c r="A91" s="4"/>
      <c r="B91" s="2"/>
      <c r="C91" s="5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ht="13.1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ht="13.1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ht="13.15" customHeight="1">
      <c r="A94" s="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ht="13.1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ht="13.15" customHeight="1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ht="13.1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ht="13.15" customHeight="1">
      <c r="A98" s="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ht="13.1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ht="13.15" customHeight="1">
      <c r="A100" s="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ht="13.15" customHeight="1">
      <c r="A101" s="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ht="13.1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ht="13.15" customHeight="1">
      <c r="A103" s="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ht="13.15" customHeight="1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ht="13.15" customHeight="1">
      <c r="A105" s="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ht="13.1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ht="13.15" customHeight="1">
      <c r="A107" s="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ht="13.15" customHeight="1">
      <c r="A108" s="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ht="13.1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ht="13.1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ht="13.15" customHeight="1">
      <c r="A111" s="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ht="13.1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ht="13.1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ht="13.15" customHeight="1">
      <c r="A114" s="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ht="13.15" customHeight="1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ht="13.1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ht="13.15" customHeight="1">
      <c r="A117" s="4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ht="13.15" customHeight="1">
      <c r="A118" s="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ht="13.1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ht="13.1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ht="13.15" customHeight="1">
      <c r="A121" s="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ht="13.15" customHeight="1">
      <c r="A122" s="4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ht="13.1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ht="13.15" customHeight="1">
      <c r="A124" s="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ht="13.15" customHeight="1">
      <c r="A125" s="4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ht="13.15" customHeight="1">
      <c r="A126" s="4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ht="13.15" customHeight="1">
      <c r="A127" s="4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ht="13.15" customHeight="1">
      <c r="A128" s="5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ht="13.15" customHeight="1">
      <c r="A129" s="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ht="13.1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ht="13.1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ht="13.15" customHeight="1">
      <c r="A132" s="4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ht="13.1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ht="13.1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ht="13.15" customHeight="1">
      <c r="A135" s="6"/>
      <c r="B135" s="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ht="13.1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ht="13.1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ht="13.1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ht="13.1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ht="13.1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ht="13.15" customHeight="1">
      <c r="A141" s="6"/>
      <c r="B141" s="5"/>
      <c r="C141" s="4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ht="13.15" customHeight="1">
      <c r="A142" s="6"/>
      <c r="B142" s="5"/>
      <c r="C142" s="4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ht="13.1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ht="13.15" customHeight="1">
      <c r="A144" s="6"/>
      <c r="B144" s="5"/>
      <c r="C144" s="4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ht="13.15" customHeight="1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ht="13.15" customHeight="1">
      <c r="A146" s="6"/>
      <c r="B146" s="5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ht="13.1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ht="13.15" customHeight="1">
      <c r="A148" s="6"/>
      <c r="B148" s="5"/>
      <c r="C148" s="4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ht="13.15" customHeight="1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ht="13.15" customHeight="1">
      <c r="A150" s="6"/>
      <c r="B150" s="5"/>
      <c r="C150" s="4"/>
      <c r="D150" s="2"/>
      <c r="E150" s="2"/>
      <c r="F150" s="2"/>
      <c r="G150" s="2"/>
      <c r="H150" s="2"/>
      <c r="I150" s="2"/>
      <c r="J150" s="2"/>
      <c r="K150" s="2"/>
      <c r="L150" s="2"/>
      <c r="M150" s="2"/>
    </row>
  </sheetData>
  <pageMargins left="0.78740200000000005" right="0.78740200000000005" top="0.98425200000000002" bottom="0.98425200000000002" header="0.49212600000000001" footer="0.49212600000000001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50"/>
  <sheetViews>
    <sheetView showGridLines="0" zoomScale="70" zoomScaleNormal="70" workbookViewId="0">
      <selection activeCell="A29" sqref="A29"/>
    </sheetView>
  </sheetViews>
  <sheetFormatPr baseColWidth="10" defaultColWidth="10.85546875" defaultRowHeight="13.15" customHeight="1"/>
  <cols>
    <col min="1" max="1" width="39" style="12" customWidth="1"/>
    <col min="2" max="2" width="12" style="27" customWidth="1"/>
    <col min="3" max="3" width="10.85546875" style="27" customWidth="1"/>
    <col min="4" max="256" width="10.85546875" style="12" customWidth="1"/>
  </cols>
  <sheetData>
    <row r="1" spans="1:14" ht="13.15" customHeight="1">
      <c r="A1" s="2"/>
      <c r="B1" s="25"/>
      <c r="C1" s="25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3.15" customHeight="1">
      <c r="A2" s="2"/>
      <c r="B2" s="26" t="s">
        <v>0</v>
      </c>
      <c r="C2" s="26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4" t="s">
        <v>7</v>
      </c>
      <c r="J2" s="14" t="s">
        <v>8</v>
      </c>
      <c r="K2" s="14" t="s">
        <v>9</v>
      </c>
      <c r="L2" s="14" t="s">
        <v>10</v>
      </c>
      <c r="M2" s="14" t="s">
        <v>11</v>
      </c>
      <c r="N2" s="14" t="s">
        <v>19</v>
      </c>
    </row>
    <row r="3" spans="1:14" ht="13.15" customHeight="1">
      <c r="A3" s="6" t="s">
        <v>20</v>
      </c>
      <c r="B3" s="24"/>
      <c r="C3" s="24"/>
      <c r="D3" s="15"/>
      <c r="E3" s="15"/>
      <c r="F3" s="15"/>
      <c r="G3" s="15"/>
      <c r="H3" s="15"/>
      <c r="I3" s="15"/>
      <c r="J3" s="15"/>
      <c r="K3" s="15"/>
      <c r="L3" s="15"/>
      <c r="M3" s="15"/>
      <c r="N3" s="13"/>
    </row>
    <row r="4" spans="1:14" ht="13.15" customHeight="1">
      <c r="A4" s="2"/>
      <c r="B4" s="24"/>
      <c r="C4" s="24"/>
      <c r="D4" s="15"/>
      <c r="E4" s="15"/>
      <c r="F4" s="15"/>
      <c r="G4" s="15"/>
      <c r="H4" s="15"/>
      <c r="I4" s="15"/>
      <c r="J4" s="15"/>
      <c r="K4" s="15"/>
      <c r="L4" s="15"/>
      <c r="M4" s="15"/>
      <c r="N4" s="13"/>
    </row>
    <row r="5" spans="1:14" ht="13.15" customHeight="1">
      <c r="A5" s="22" t="s">
        <v>36</v>
      </c>
      <c r="B5" s="24">
        <v>971</v>
      </c>
      <c r="C5" s="24">
        <v>971</v>
      </c>
      <c r="D5" s="15">
        <v>970.78</v>
      </c>
      <c r="E5" s="15">
        <v>1166.6600000000001</v>
      </c>
      <c r="F5" s="15">
        <v>1458.33</v>
      </c>
      <c r="G5" s="15">
        <v>1458.33</v>
      </c>
      <c r="H5" s="15">
        <v>1458.33</v>
      </c>
      <c r="I5" s="15">
        <v>991.66</v>
      </c>
      <c r="J5" s="15">
        <v>991.66</v>
      </c>
      <c r="K5" s="15">
        <v>1458.33</v>
      </c>
      <c r="L5" s="15">
        <v>1875</v>
      </c>
      <c r="M5" s="15">
        <v>1875</v>
      </c>
      <c r="N5" s="15">
        <f>SUM(B5:M5)</f>
        <v>15646.08</v>
      </c>
    </row>
    <row r="6" spans="1:14" ht="13.15" customHeight="1">
      <c r="A6" s="23" t="s">
        <v>39</v>
      </c>
      <c r="B6" s="24">
        <v>1674.16</v>
      </c>
      <c r="C6" s="24">
        <v>1674.16</v>
      </c>
      <c r="D6" s="15">
        <v>1674.16</v>
      </c>
      <c r="E6" s="15">
        <v>1674.16</v>
      </c>
      <c r="F6" s="15">
        <v>1674.16</v>
      </c>
      <c r="G6" s="15">
        <v>1967.2</v>
      </c>
      <c r="H6" s="15">
        <v>1967.2</v>
      </c>
      <c r="I6" s="15">
        <v>1967.2</v>
      </c>
      <c r="J6" s="15">
        <v>2447.1999999999998</v>
      </c>
      <c r="K6" s="15">
        <v>2447.1999999999998</v>
      </c>
      <c r="L6" s="15">
        <v>2447.1999999999998</v>
      </c>
      <c r="M6" s="15">
        <v>2447.1999999999998</v>
      </c>
      <c r="N6" s="34">
        <f>+SUM(B6:M6)</f>
        <v>24061.200000000004</v>
      </c>
    </row>
    <row r="7" spans="1:14" ht="13.15" customHeight="1">
      <c r="A7" s="22" t="s">
        <v>37</v>
      </c>
      <c r="B7" s="24">
        <v>816.66</v>
      </c>
      <c r="C7" s="24">
        <v>816.66</v>
      </c>
      <c r="D7" s="15">
        <v>816.66</v>
      </c>
      <c r="E7" s="15">
        <v>914.83</v>
      </c>
      <c r="F7" s="15">
        <v>1164.33</v>
      </c>
      <c r="G7" s="15">
        <v>1372.25</v>
      </c>
      <c r="H7" s="15">
        <v>1580.16</v>
      </c>
      <c r="I7" s="15">
        <v>2395</v>
      </c>
      <c r="J7" s="15">
        <v>2395</v>
      </c>
      <c r="K7" s="15">
        <v>2395.1999999999998</v>
      </c>
      <c r="L7" s="15">
        <v>3193</v>
      </c>
      <c r="M7" s="15">
        <v>3193</v>
      </c>
      <c r="N7" s="34">
        <f>+SUM(B7:M7)</f>
        <v>21052.75</v>
      </c>
    </row>
    <row r="8" spans="1:14" ht="13.15" customHeight="1">
      <c r="A8" s="23" t="s">
        <v>38</v>
      </c>
      <c r="B8" s="24">
        <v>1129.56</v>
      </c>
      <c r="C8" s="24">
        <v>1129.56</v>
      </c>
      <c r="D8" s="15">
        <v>1129.56</v>
      </c>
      <c r="E8" s="15">
        <v>3490</v>
      </c>
      <c r="F8" s="15">
        <v>3490</v>
      </c>
      <c r="G8" s="15">
        <v>3490</v>
      </c>
      <c r="H8" s="15">
        <v>3490</v>
      </c>
      <c r="I8" s="15">
        <v>1129.56</v>
      </c>
      <c r="J8" s="15">
        <v>3180</v>
      </c>
      <c r="K8" s="15">
        <v>4400</v>
      </c>
      <c r="L8" s="15">
        <v>4800</v>
      </c>
      <c r="M8" s="15">
        <v>5120</v>
      </c>
      <c r="N8" s="34">
        <f>+SUM(B8:M8)</f>
        <v>35978.240000000005</v>
      </c>
    </row>
    <row r="9" spans="1:14" ht="13.15" customHeight="1">
      <c r="A9" s="2"/>
      <c r="B9" s="24"/>
      <c r="C9" s="2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 ht="16.5" customHeight="1">
      <c r="A10" s="30" t="s">
        <v>21</v>
      </c>
      <c r="B10" s="31">
        <f>SUM(B5:B9)</f>
        <v>4591.3799999999992</v>
      </c>
      <c r="C10" s="31">
        <f>SUM(C5:C9)</f>
        <v>4591.3799999999992</v>
      </c>
      <c r="D10" s="31">
        <f>+SUM(D5:D9)</f>
        <v>4591.16</v>
      </c>
      <c r="E10" s="31">
        <f t="shared" ref="E10:M10" si="0">SUM(E5:E9)</f>
        <v>7245.65</v>
      </c>
      <c r="F10" s="31">
        <f t="shared" si="0"/>
        <v>7786.82</v>
      </c>
      <c r="G10" s="31">
        <f t="shared" si="0"/>
        <v>8287.7799999999988</v>
      </c>
      <c r="H10" s="31">
        <f t="shared" si="0"/>
        <v>8495.6899999999987</v>
      </c>
      <c r="I10" s="31">
        <f t="shared" si="0"/>
        <v>6483.42</v>
      </c>
      <c r="J10" s="31">
        <f t="shared" si="0"/>
        <v>9013.86</v>
      </c>
      <c r="K10" s="31">
        <f t="shared" si="0"/>
        <v>10700.73</v>
      </c>
      <c r="L10" s="31">
        <f t="shared" si="0"/>
        <v>12315.2</v>
      </c>
      <c r="M10" s="31">
        <f t="shared" si="0"/>
        <v>12635.2</v>
      </c>
      <c r="N10" s="31">
        <f>SUM(B10:M10)</f>
        <v>96738.26999999999</v>
      </c>
    </row>
    <row r="11" spans="1:14" ht="33.75" customHeight="1">
      <c r="A11" s="46" t="s">
        <v>54</v>
      </c>
      <c r="B11" s="24"/>
      <c r="C11" s="2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3"/>
    </row>
    <row r="12" spans="1:14" ht="13.15" customHeight="1">
      <c r="A12" s="4" t="s">
        <v>12</v>
      </c>
      <c r="B12" s="24">
        <v>11223.23</v>
      </c>
      <c r="C12" s="24"/>
      <c r="D12" s="15"/>
      <c r="E12" s="24">
        <v>11223.23</v>
      </c>
      <c r="F12" s="15"/>
      <c r="G12" s="15"/>
      <c r="H12" s="24">
        <v>11223.23</v>
      </c>
      <c r="I12" s="15"/>
      <c r="J12" s="15"/>
      <c r="K12" s="24">
        <v>11223.23</v>
      </c>
      <c r="L12" s="15"/>
      <c r="M12" s="15"/>
      <c r="N12" s="15">
        <f t="shared" ref="N12:N18" si="1">SUM(B12:M12)</f>
        <v>44892.92</v>
      </c>
    </row>
    <row r="13" spans="1:14" ht="13.15" customHeight="1">
      <c r="A13" s="4" t="s">
        <v>14</v>
      </c>
      <c r="B13" s="24">
        <v>250</v>
      </c>
      <c r="C13" s="24">
        <v>250</v>
      </c>
      <c r="D13" s="24">
        <v>250</v>
      </c>
      <c r="E13" s="24">
        <v>250</v>
      </c>
      <c r="F13" s="24">
        <v>250</v>
      </c>
      <c r="G13" s="24">
        <v>250</v>
      </c>
      <c r="H13" s="24">
        <v>250</v>
      </c>
      <c r="I13" s="24">
        <v>250</v>
      </c>
      <c r="J13" s="24">
        <v>250</v>
      </c>
      <c r="K13" s="24">
        <v>250</v>
      </c>
      <c r="L13" s="24">
        <v>250</v>
      </c>
      <c r="M13" s="24">
        <v>250</v>
      </c>
      <c r="N13" s="15">
        <f t="shared" si="1"/>
        <v>3000</v>
      </c>
    </row>
    <row r="14" spans="1:14" ht="13.15" customHeight="1">
      <c r="A14" s="4" t="s">
        <v>15</v>
      </c>
      <c r="B14" s="24">
        <f>'1'!$B66/3</f>
        <v>333.33333333333331</v>
      </c>
      <c r="C14" s="28" t="s">
        <v>44</v>
      </c>
      <c r="D14" s="15"/>
      <c r="E14" s="15">
        <f>'1'!$B66/3</f>
        <v>333.33333333333331</v>
      </c>
      <c r="F14" s="15"/>
      <c r="G14" s="15"/>
      <c r="H14" s="15">
        <f>'1'!$B66/3</f>
        <v>333.33333333333331</v>
      </c>
      <c r="I14" s="15"/>
      <c r="J14" s="15"/>
      <c r="K14" s="15">
        <f>'1'!$B66/3</f>
        <v>333.33333333333331</v>
      </c>
      <c r="L14" s="15"/>
      <c r="M14" s="15"/>
      <c r="N14" s="15">
        <f t="shared" si="1"/>
        <v>1333.3333333333333</v>
      </c>
    </row>
    <row r="15" spans="1:14" ht="13.15" customHeight="1">
      <c r="A15" s="22" t="s">
        <v>40</v>
      </c>
      <c r="B15" s="24">
        <v>180.64</v>
      </c>
      <c r="C15" s="24"/>
      <c r="D15" s="24">
        <v>180.64</v>
      </c>
      <c r="E15" s="15"/>
      <c r="F15" s="24">
        <v>180.64</v>
      </c>
      <c r="G15" s="15"/>
      <c r="H15" s="24">
        <v>180.64</v>
      </c>
      <c r="I15" s="15"/>
      <c r="J15" s="24">
        <v>180.64</v>
      </c>
      <c r="K15" s="15"/>
      <c r="L15" s="24">
        <v>180.64</v>
      </c>
      <c r="M15" s="15"/>
      <c r="N15" s="15">
        <f t="shared" si="1"/>
        <v>1083.8399999999999</v>
      </c>
    </row>
    <row r="16" spans="1:14" ht="27.75" customHeight="1">
      <c r="A16" s="29" t="s">
        <v>43</v>
      </c>
      <c r="B16" s="24">
        <v>481.67</v>
      </c>
      <c r="C16" s="24">
        <v>481.67</v>
      </c>
      <c r="D16" s="24">
        <v>481.67</v>
      </c>
      <c r="E16" s="15">
        <v>300</v>
      </c>
      <c r="F16" s="15">
        <v>300</v>
      </c>
      <c r="G16" s="15">
        <v>300</v>
      </c>
      <c r="H16" s="15">
        <v>714.16</v>
      </c>
      <c r="I16" s="15">
        <v>300</v>
      </c>
      <c r="J16" s="15">
        <v>300</v>
      </c>
      <c r="K16" s="15">
        <v>300</v>
      </c>
      <c r="L16" s="15">
        <v>714.16</v>
      </c>
      <c r="M16" s="15">
        <v>300</v>
      </c>
      <c r="N16" s="15">
        <f t="shared" si="1"/>
        <v>4973.33</v>
      </c>
    </row>
    <row r="17" spans="1:14" ht="17.25" customHeight="1">
      <c r="A17" s="22" t="s">
        <v>42</v>
      </c>
      <c r="B17" s="24">
        <v>280</v>
      </c>
      <c r="C17" s="24">
        <v>280</v>
      </c>
      <c r="D17" s="24">
        <v>280</v>
      </c>
      <c r="E17" s="24">
        <v>280</v>
      </c>
      <c r="F17" s="24">
        <v>280</v>
      </c>
      <c r="G17" s="24">
        <v>280</v>
      </c>
      <c r="H17" s="24">
        <v>280</v>
      </c>
      <c r="I17" s="24">
        <v>280</v>
      </c>
      <c r="J17" s="24">
        <v>280</v>
      </c>
      <c r="K17" s="24">
        <v>280</v>
      </c>
      <c r="L17" s="24">
        <v>280</v>
      </c>
      <c r="M17" s="24">
        <v>280</v>
      </c>
      <c r="N17" s="15">
        <f t="shared" si="1"/>
        <v>3360</v>
      </c>
    </row>
    <row r="18" spans="1:14" ht="13.15" customHeight="1">
      <c r="A18" s="4" t="s">
        <v>16</v>
      </c>
      <c r="B18" s="24">
        <v>50</v>
      </c>
      <c r="C18" s="24">
        <v>50</v>
      </c>
      <c r="D18" s="24">
        <v>50</v>
      </c>
      <c r="E18" s="24">
        <v>50</v>
      </c>
      <c r="F18" s="24">
        <v>50</v>
      </c>
      <c r="G18" s="24">
        <v>50</v>
      </c>
      <c r="H18" s="24">
        <v>50</v>
      </c>
      <c r="I18" s="24">
        <v>50</v>
      </c>
      <c r="J18" s="24">
        <v>50</v>
      </c>
      <c r="K18" s="24">
        <v>50</v>
      </c>
      <c r="L18" s="24">
        <v>50</v>
      </c>
      <c r="M18" s="24">
        <v>50</v>
      </c>
      <c r="N18" s="15">
        <f t="shared" si="1"/>
        <v>600</v>
      </c>
    </row>
    <row r="19" spans="1:14" ht="13.15" customHeight="1">
      <c r="A19" s="23" t="s">
        <v>41</v>
      </c>
      <c r="B19" s="24">
        <v>237.5</v>
      </c>
      <c r="C19" s="24">
        <v>237.5</v>
      </c>
      <c r="D19" s="24">
        <v>237.5</v>
      </c>
      <c r="E19" s="24">
        <v>237.5</v>
      </c>
      <c r="F19" s="24">
        <v>237.5</v>
      </c>
      <c r="G19" s="24">
        <v>237.5</v>
      </c>
      <c r="H19" s="24">
        <v>237.5</v>
      </c>
      <c r="I19" s="24"/>
      <c r="J19" s="24"/>
      <c r="K19" s="24"/>
      <c r="L19" s="24"/>
      <c r="M19" s="24"/>
      <c r="N19" s="15">
        <f>+SUM(B19:M19)</f>
        <v>1662.5</v>
      </c>
    </row>
    <row r="20" spans="1:14" ht="13.15" customHeight="1">
      <c r="A20" s="2"/>
      <c r="B20" s="24"/>
      <c r="C20" s="2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3"/>
    </row>
    <row r="21" spans="1:14" ht="13.15" customHeight="1">
      <c r="A21" s="22" t="s">
        <v>45</v>
      </c>
      <c r="B21" s="24">
        <v>1818</v>
      </c>
      <c r="C21" s="24">
        <v>1818</v>
      </c>
      <c r="D21" s="24">
        <v>1818</v>
      </c>
      <c r="E21" s="24">
        <v>1818</v>
      </c>
      <c r="F21" s="24">
        <v>1818</v>
      </c>
      <c r="G21" s="24">
        <v>1818</v>
      </c>
      <c r="H21" s="24">
        <v>1818</v>
      </c>
      <c r="I21" s="24">
        <v>1818</v>
      </c>
      <c r="J21" s="24">
        <v>1818</v>
      </c>
      <c r="K21" s="24">
        <v>1818</v>
      </c>
      <c r="L21" s="24">
        <v>1818</v>
      </c>
      <c r="M21" s="24">
        <v>1818</v>
      </c>
      <c r="N21" s="15">
        <f>SUM(B21:M21)</f>
        <v>21816</v>
      </c>
    </row>
    <row r="22" spans="1:14" ht="13.15" customHeight="1">
      <c r="A22" s="22" t="s">
        <v>46</v>
      </c>
      <c r="B22" s="24"/>
      <c r="C22" s="24"/>
      <c r="D22" s="15"/>
      <c r="E22" s="15"/>
      <c r="F22" s="15"/>
      <c r="G22" s="15"/>
      <c r="H22" s="15"/>
      <c r="I22" s="15"/>
      <c r="J22" s="15"/>
      <c r="K22" s="15"/>
      <c r="L22" s="15">
        <v>1819</v>
      </c>
      <c r="M22" s="15">
        <v>1819</v>
      </c>
      <c r="N22" s="15">
        <f>SUM(B22:M22)</f>
        <v>3638</v>
      </c>
    </row>
    <row r="23" spans="1:14" ht="13.15" customHeight="1">
      <c r="A23" s="22" t="s">
        <v>47</v>
      </c>
      <c r="B23" s="24"/>
      <c r="C23" s="24"/>
      <c r="D23" s="15"/>
      <c r="E23" s="15">
        <v>543</v>
      </c>
      <c r="F23" s="15">
        <v>543</v>
      </c>
      <c r="G23" s="15">
        <v>543</v>
      </c>
      <c r="H23" s="15"/>
      <c r="I23" s="15"/>
      <c r="J23" s="15"/>
      <c r="K23" s="15"/>
      <c r="L23" s="15"/>
      <c r="M23" s="15"/>
      <c r="N23" s="15">
        <f>SUM(B23:M23)</f>
        <v>1629</v>
      </c>
    </row>
    <row r="24" spans="1:14" ht="13.15" customHeight="1">
      <c r="A24" s="2"/>
      <c r="B24" s="24"/>
      <c r="C24" s="2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3"/>
    </row>
    <row r="25" spans="1:14" ht="13.15" customHeight="1">
      <c r="A25" s="4" t="s">
        <v>22</v>
      </c>
      <c r="B25" s="24">
        <f t="shared" ref="B25:M25" si="2">SUM(B21:B24)</f>
        <v>1818</v>
      </c>
      <c r="C25" s="24">
        <f t="shared" si="2"/>
        <v>1818</v>
      </c>
      <c r="D25" s="15">
        <f t="shared" si="2"/>
        <v>1818</v>
      </c>
      <c r="E25" s="15">
        <f t="shared" si="2"/>
        <v>2361</v>
      </c>
      <c r="F25" s="15">
        <f t="shared" si="2"/>
        <v>2361</v>
      </c>
      <c r="G25" s="15">
        <f t="shared" si="2"/>
        <v>2361</v>
      </c>
      <c r="H25" s="15">
        <f t="shared" si="2"/>
        <v>1818</v>
      </c>
      <c r="I25" s="15">
        <f t="shared" si="2"/>
        <v>1818</v>
      </c>
      <c r="J25" s="15">
        <f t="shared" si="2"/>
        <v>1818</v>
      </c>
      <c r="K25" s="15">
        <f t="shared" si="2"/>
        <v>1818</v>
      </c>
      <c r="L25" s="15">
        <f t="shared" si="2"/>
        <v>3637</v>
      </c>
      <c r="M25" s="15">
        <f t="shared" si="2"/>
        <v>3637</v>
      </c>
      <c r="N25" s="15">
        <f>SUM(B25:M25)</f>
        <v>27083</v>
      </c>
    </row>
    <row r="26" spans="1:14" ht="13.15" customHeight="1">
      <c r="A26" s="2"/>
      <c r="B26" s="24"/>
      <c r="C26" s="2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3"/>
    </row>
    <row r="27" spans="1:14" ht="13.15" customHeight="1">
      <c r="A27" s="4" t="s">
        <v>18</v>
      </c>
      <c r="B27" s="24">
        <f>B25*0.6</f>
        <v>1090.8</v>
      </c>
      <c r="C27" s="24">
        <f>C25*0.6</f>
        <v>1090.8</v>
      </c>
      <c r="D27" s="15">
        <f>D25*0.6</f>
        <v>1090.8</v>
      </c>
      <c r="E27" s="15">
        <f>E21*0.6</f>
        <v>1090.8</v>
      </c>
      <c r="F27" s="15">
        <f>F21*0.6</f>
        <v>1090.8</v>
      </c>
      <c r="G27" s="15">
        <f>G21*0.6</f>
        <v>1090.8</v>
      </c>
      <c r="H27" s="15">
        <f t="shared" ref="H27:M27" si="3">H25*0.6</f>
        <v>1090.8</v>
      </c>
      <c r="I27" s="15">
        <f t="shared" si="3"/>
        <v>1090.8</v>
      </c>
      <c r="J27" s="15">
        <f t="shared" si="3"/>
        <v>1090.8</v>
      </c>
      <c r="K27" s="15">
        <f t="shared" si="3"/>
        <v>1090.8</v>
      </c>
      <c r="L27" s="15">
        <f t="shared" si="3"/>
        <v>2182.1999999999998</v>
      </c>
      <c r="M27" s="15">
        <f t="shared" si="3"/>
        <v>2182.1999999999998</v>
      </c>
      <c r="N27" s="15">
        <f>SUM(B27:M27)</f>
        <v>15272.399999999998</v>
      </c>
    </row>
    <row r="28" spans="1:14" ht="13.15" customHeight="1">
      <c r="A28" s="2"/>
      <c r="B28" s="24"/>
      <c r="C28" s="2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3"/>
    </row>
    <row r="29" spans="1:14" ht="13.15" customHeight="1">
      <c r="A29" s="4" t="s">
        <v>17</v>
      </c>
      <c r="B29" s="24">
        <v>833.33333333333337</v>
      </c>
      <c r="C29" s="24">
        <v>833.33333333333337</v>
      </c>
      <c r="D29" s="15">
        <v>833.33333333333337</v>
      </c>
      <c r="E29" s="15">
        <v>833.33333333333337</v>
      </c>
      <c r="F29" s="15">
        <v>833.33333333333337</v>
      </c>
      <c r="G29" s="15">
        <v>833.33333333333337</v>
      </c>
      <c r="H29" s="15">
        <v>833.33333333333337</v>
      </c>
      <c r="I29" s="15">
        <v>833.33333333333337</v>
      </c>
      <c r="J29" s="15">
        <v>833.33333333333337</v>
      </c>
      <c r="K29" s="15">
        <v>833.33333333333337</v>
      </c>
      <c r="L29" s="15">
        <v>833.33333333333337</v>
      </c>
      <c r="M29" s="15">
        <v>833.33333333333337</v>
      </c>
      <c r="N29" s="15">
        <f>SUM(B29:M29)</f>
        <v>10000</v>
      </c>
    </row>
    <row r="30" spans="1:14" ht="13.15" customHeight="1">
      <c r="A30" s="23"/>
      <c r="B30" s="24"/>
      <c r="C30" s="24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3.15" customHeight="1">
      <c r="A31" s="4" t="s">
        <v>23</v>
      </c>
      <c r="B31" s="24">
        <v>25</v>
      </c>
      <c r="C31" s="24">
        <v>25</v>
      </c>
      <c r="D31" s="24">
        <v>25</v>
      </c>
      <c r="E31" s="24">
        <v>25</v>
      </c>
      <c r="F31" s="24">
        <v>25</v>
      </c>
      <c r="G31" s="24">
        <v>25</v>
      </c>
      <c r="H31" s="24">
        <v>25</v>
      </c>
      <c r="I31" s="24">
        <v>25</v>
      </c>
      <c r="J31" s="24">
        <v>25</v>
      </c>
      <c r="K31" s="24">
        <v>25</v>
      </c>
      <c r="L31" s="24">
        <v>25</v>
      </c>
      <c r="M31" s="24">
        <v>25</v>
      </c>
      <c r="N31" s="15">
        <f>SUM(B31:M31)</f>
        <v>300</v>
      </c>
    </row>
    <row r="32" spans="1:14" ht="13.15" customHeight="1">
      <c r="A32" s="4" t="s">
        <v>24</v>
      </c>
      <c r="B32" s="24">
        <v>859.92</v>
      </c>
      <c r="C32" s="24">
        <v>859.92</v>
      </c>
      <c r="D32" s="24">
        <v>859.92</v>
      </c>
      <c r="E32" s="15">
        <v>1271.92</v>
      </c>
      <c r="F32" s="15">
        <v>1271.92</v>
      </c>
      <c r="G32" s="15">
        <v>1271.92</v>
      </c>
      <c r="H32" s="15">
        <v>1271.92</v>
      </c>
      <c r="I32" s="15">
        <v>1271.92</v>
      </c>
      <c r="J32" s="15">
        <v>1271.92</v>
      </c>
      <c r="K32" s="15">
        <v>1271.92</v>
      </c>
      <c r="L32" s="15">
        <v>1271.92</v>
      </c>
      <c r="M32" s="15">
        <v>1271.92</v>
      </c>
      <c r="N32" s="15">
        <f>SUM(B32:M32)</f>
        <v>14027.04</v>
      </c>
    </row>
    <row r="33" spans="1:14" ht="13.15" customHeight="1">
      <c r="A33" s="2"/>
      <c r="B33" s="24"/>
      <c r="C33" s="24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3"/>
    </row>
    <row r="34" spans="1:14" ht="13.15" customHeight="1">
      <c r="A34" s="4" t="s">
        <v>25</v>
      </c>
      <c r="B34" s="24">
        <v>666.66</v>
      </c>
      <c r="C34" s="24">
        <v>666.66</v>
      </c>
      <c r="D34" s="24">
        <v>666.66</v>
      </c>
      <c r="E34" s="24">
        <v>666.66</v>
      </c>
      <c r="F34" s="24">
        <v>666.66</v>
      </c>
      <c r="G34" s="24">
        <v>666.66</v>
      </c>
      <c r="H34" s="24">
        <v>666.66</v>
      </c>
      <c r="I34" s="24">
        <v>666.66</v>
      </c>
      <c r="J34" s="24">
        <v>666.66</v>
      </c>
      <c r="K34" s="24">
        <v>666.66</v>
      </c>
      <c r="L34" s="24">
        <v>666.66</v>
      </c>
      <c r="M34" s="24">
        <v>666.66</v>
      </c>
      <c r="N34" s="15">
        <f>SUM(B34:M34)</f>
        <v>7999.9199999999992</v>
      </c>
    </row>
    <row r="35" spans="1:14" ht="13.15" customHeight="1">
      <c r="A35" s="4" t="s">
        <v>26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15">
        <f>SUM(B35:M35)</f>
        <v>0</v>
      </c>
    </row>
    <row r="36" spans="1:14" ht="13.15" customHeight="1">
      <c r="A36" s="2"/>
      <c r="B36" s="24"/>
      <c r="C36" s="24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3"/>
    </row>
    <row r="37" spans="1:14" ht="13.15" customHeight="1">
      <c r="A37" s="4" t="s">
        <v>27</v>
      </c>
      <c r="B37" s="24">
        <f t="shared" ref="B37:N37" si="4">SUM(B12:B35)-B25</f>
        <v>18330.086666666662</v>
      </c>
      <c r="C37" s="24">
        <f t="shared" si="4"/>
        <v>6592.8833333333332</v>
      </c>
      <c r="D37" s="15">
        <f t="shared" si="4"/>
        <v>6773.5233333333326</v>
      </c>
      <c r="E37" s="15">
        <f t="shared" si="4"/>
        <v>18922.776666666661</v>
      </c>
      <c r="F37" s="15">
        <f t="shared" si="4"/>
        <v>7546.8533333333326</v>
      </c>
      <c r="G37" s="15">
        <f t="shared" si="4"/>
        <v>7366.2133333333331</v>
      </c>
      <c r="H37" s="15">
        <f t="shared" si="4"/>
        <v>18974.576666666664</v>
      </c>
      <c r="I37" s="15">
        <f t="shared" si="4"/>
        <v>6585.7133333333331</v>
      </c>
      <c r="J37" s="15">
        <f t="shared" si="4"/>
        <v>6766.3533333333326</v>
      </c>
      <c r="K37" s="15">
        <f t="shared" si="4"/>
        <v>18142.276666666668</v>
      </c>
      <c r="L37" s="15">
        <f t="shared" si="4"/>
        <v>10090.913333333334</v>
      </c>
      <c r="M37" s="15">
        <f t="shared" si="4"/>
        <v>9496.1133333333346</v>
      </c>
      <c r="N37" s="15">
        <f t="shared" si="4"/>
        <v>135588.28333333335</v>
      </c>
    </row>
    <row r="38" spans="1:14" ht="13.15" customHeight="1">
      <c r="A38" s="2"/>
      <c r="B38" s="24"/>
      <c r="C38" s="2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3"/>
    </row>
    <row r="39" spans="1:14" ht="13.15" customHeight="1">
      <c r="A39" s="4" t="s">
        <v>28</v>
      </c>
      <c r="B39" s="24">
        <f t="shared" ref="B39:N39" si="5">B10-B37</f>
        <v>-13738.706666666663</v>
      </c>
      <c r="C39" s="24">
        <f t="shared" si="5"/>
        <v>-2001.503333333334</v>
      </c>
      <c r="D39" s="15">
        <f t="shared" si="5"/>
        <v>-2182.3633333333328</v>
      </c>
      <c r="E39" s="15">
        <f t="shared" si="5"/>
        <v>-11677.126666666662</v>
      </c>
      <c r="F39" s="15">
        <f t="shared" si="5"/>
        <v>239.96666666666715</v>
      </c>
      <c r="G39" s="15">
        <f t="shared" si="5"/>
        <v>921.5666666666657</v>
      </c>
      <c r="H39" s="15">
        <f t="shared" si="5"/>
        <v>-10478.886666666665</v>
      </c>
      <c r="I39" s="15">
        <f t="shared" si="5"/>
        <v>-102.29333333333307</v>
      </c>
      <c r="J39" s="15">
        <f t="shared" si="5"/>
        <v>2247.506666666668</v>
      </c>
      <c r="K39" s="15">
        <f t="shared" si="5"/>
        <v>-7441.5466666666689</v>
      </c>
      <c r="L39" s="15">
        <f t="shared" si="5"/>
        <v>2224.2866666666669</v>
      </c>
      <c r="M39" s="15">
        <f t="shared" si="5"/>
        <v>3139.0866666666661</v>
      </c>
      <c r="N39" s="15">
        <f t="shared" si="5"/>
        <v>-38850.013333333365</v>
      </c>
    </row>
    <row r="40" spans="1:14" ht="13.15" customHeight="1">
      <c r="A40" s="4" t="s">
        <v>29</v>
      </c>
      <c r="B40" s="24">
        <f>B39</f>
        <v>-13738.706666666663</v>
      </c>
      <c r="C40" s="24">
        <f t="shared" ref="C40:M40" si="6">C39+B40</f>
        <v>-15740.209999999997</v>
      </c>
      <c r="D40" s="15">
        <f t="shared" si="6"/>
        <v>-17922.57333333333</v>
      </c>
      <c r="E40" s="15">
        <f t="shared" si="6"/>
        <v>-29599.69999999999</v>
      </c>
      <c r="F40" s="15">
        <f t="shared" si="6"/>
        <v>-29359.733333333323</v>
      </c>
      <c r="G40" s="15">
        <f t="shared" si="6"/>
        <v>-28438.166666666657</v>
      </c>
      <c r="H40" s="15">
        <f t="shared" si="6"/>
        <v>-38917.053333333322</v>
      </c>
      <c r="I40" s="15">
        <f t="shared" si="6"/>
        <v>-39019.346666666657</v>
      </c>
      <c r="J40" s="15">
        <f t="shared" si="6"/>
        <v>-36771.839999999989</v>
      </c>
      <c r="K40" s="15">
        <f t="shared" si="6"/>
        <v>-44213.386666666658</v>
      </c>
      <c r="L40" s="15">
        <f t="shared" si="6"/>
        <v>-41989.099999999991</v>
      </c>
      <c r="M40" s="15">
        <f t="shared" si="6"/>
        <v>-38850.013333333321</v>
      </c>
      <c r="N40" s="15"/>
    </row>
    <row r="41" spans="1:14" ht="13.15" customHeight="1">
      <c r="A41" s="2"/>
      <c r="B41" s="24"/>
      <c r="C41" s="24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3"/>
    </row>
    <row r="42" spans="1:14" ht="13.15" customHeight="1">
      <c r="A42" s="2"/>
      <c r="B42" s="24"/>
      <c r="C42" s="24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3"/>
    </row>
    <row r="43" spans="1:14" ht="13.15" customHeight="1">
      <c r="A43" s="2"/>
      <c r="B43" s="24"/>
      <c r="C43" s="2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3"/>
    </row>
    <row r="44" spans="1:14" ht="13.15" customHeight="1">
      <c r="A44" s="2"/>
      <c r="B44" s="24"/>
      <c r="C44" s="2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3"/>
    </row>
    <row r="45" spans="1:14" ht="13.15" customHeight="1">
      <c r="A45" s="2"/>
      <c r="B45" s="24"/>
      <c r="C45" s="24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3"/>
    </row>
    <row r="46" spans="1:14" ht="13.15" customHeight="1">
      <c r="A46" s="2"/>
      <c r="B46" s="24"/>
      <c r="C46" s="24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3"/>
    </row>
    <row r="47" spans="1:14" ht="13.15" customHeight="1">
      <c r="A47" s="2"/>
      <c r="B47" s="24"/>
      <c r="C47" s="24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3"/>
    </row>
    <row r="48" spans="1:14" ht="13.15" customHeight="1">
      <c r="A48" s="2"/>
      <c r="B48" s="24"/>
      <c r="C48" s="24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3"/>
    </row>
    <row r="49" spans="1:14" ht="13.15" customHeight="1">
      <c r="A49" s="2"/>
      <c r="B49" s="24"/>
      <c r="C49" s="2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3"/>
    </row>
    <row r="50" spans="1:14" ht="13.15" customHeight="1">
      <c r="A50" s="2"/>
      <c r="B50" s="24"/>
      <c r="C50" s="24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3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ignoredErrors>
    <ignoredError sqref="D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IV24"/>
  <sheetViews>
    <sheetView showGridLines="0" topLeftCell="E1" zoomScale="85" zoomScaleNormal="85" workbookViewId="0">
      <selection activeCell="Q1" sqref="N1:Q1048576"/>
    </sheetView>
  </sheetViews>
  <sheetFormatPr baseColWidth="10" defaultColWidth="10.85546875" defaultRowHeight="13.15" customHeight="1"/>
  <cols>
    <col min="1" max="1" width="26.140625" style="19" customWidth="1"/>
    <col min="2" max="14" width="11.42578125" style="19" customWidth="1"/>
    <col min="15" max="256" width="10.85546875" style="19" customWidth="1"/>
  </cols>
  <sheetData>
    <row r="1" spans="1:14" ht="13.7" customHeight="1">
      <c r="A1" s="2"/>
      <c r="B1" s="53" t="s">
        <v>8</v>
      </c>
      <c r="C1" s="53" t="s">
        <v>9</v>
      </c>
      <c r="D1" s="53" t="s">
        <v>10</v>
      </c>
      <c r="E1" s="53" t="s">
        <v>11</v>
      </c>
      <c r="F1" s="53" t="s">
        <v>0</v>
      </c>
      <c r="G1" s="53" t="s">
        <v>1</v>
      </c>
      <c r="H1" s="53" t="s">
        <v>2</v>
      </c>
      <c r="I1" s="53" t="s">
        <v>3</v>
      </c>
      <c r="J1" s="53" t="s">
        <v>4</v>
      </c>
      <c r="K1" s="53" t="s">
        <v>5</v>
      </c>
      <c r="L1" s="53" t="s">
        <v>6</v>
      </c>
      <c r="M1" s="53" t="s">
        <v>7</v>
      </c>
      <c r="N1" s="7" t="s">
        <v>19</v>
      </c>
    </row>
    <row r="2" spans="1:14" ht="13.7" customHeight="1">
      <c r="A2" s="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6"/>
    </row>
    <row r="3" spans="1:14" ht="13.7" customHeight="1">
      <c r="A3" s="17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3.7" customHeight="1">
      <c r="A4" s="22" t="s">
        <v>36</v>
      </c>
      <c r="B4" s="24">
        <f>971*0.2</f>
        <v>194.20000000000002</v>
      </c>
      <c r="C4" s="24">
        <f>971*0.2</f>
        <v>194.20000000000002</v>
      </c>
      <c r="D4" s="15">
        <f>970.78*0.2</f>
        <v>194.15600000000001</v>
      </c>
      <c r="E4" s="15">
        <f>1166.66*0.2</f>
        <v>233.33200000000002</v>
      </c>
      <c r="F4" s="15">
        <f>+' Budget de Trésorerie.'!F4*0.2</f>
        <v>264.8</v>
      </c>
      <c r="G4" s="15">
        <f>+' Budget de Trésorerie.'!G4*0.2</f>
        <v>166.60000000000002</v>
      </c>
      <c r="H4" s="15">
        <f>+' Budget de Trésorerie.'!H4*0.2</f>
        <v>194</v>
      </c>
      <c r="I4" s="15">
        <f>+' Budget de Trésorerie.'!I4*0.2</f>
        <v>179.8</v>
      </c>
      <c r="J4" s="15">
        <f>+' Budget de Trésorerie.'!J4*0.2</f>
        <v>121.60000000000001</v>
      </c>
      <c r="K4" s="15">
        <f>+' Budget de Trésorerie.'!K4*0.2</f>
        <v>143.6</v>
      </c>
      <c r="L4" s="15">
        <f>+' Budget de Trésorerie.'!L4*0.2</f>
        <v>93.600000000000009</v>
      </c>
      <c r="M4" s="15">
        <f>+' Budget de Trésorerie.'!M4*0.2</f>
        <v>58.2</v>
      </c>
      <c r="N4" s="15">
        <f>SUM(B4:M4)</f>
        <v>2038.0879999999997</v>
      </c>
    </row>
    <row r="5" spans="1:14" ht="13.7" customHeight="1">
      <c r="A5" s="23" t="s">
        <v>39</v>
      </c>
      <c r="B5" s="24">
        <f t="shared" ref="B5:E5" si="0">1674.16*0.2</f>
        <v>334.83200000000005</v>
      </c>
      <c r="C5" s="24">
        <f t="shared" si="0"/>
        <v>334.83200000000005</v>
      </c>
      <c r="D5" s="15">
        <f t="shared" si="0"/>
        <v>334.83200000000005</v>
      </c>
      <c r="E5" s="15">
        <f t="shared" si="0"/>
        <v>334.83200000000005</v>
      </c>
      <c r="F5" s="15">
        <f>+' Budget de Trésorerie.'!E5*0.2</f>
        <v>309.8</v>
      </c>
      <c r="G5" s="15">
        <f>+' Budget de Trésorerie.'!F5*0.2</f>
        <v>309.8</v>
      </c>
      <c r="H5" s="15">
        <f>+' Budget de Trésorerie.'!G5*0.2</f>
        <v>309.8</v>
      </c>
      <c r="I5" s="15">
        <f>+' Budget de Trésorerie.'!H5*0.2</f>
        <v>309.8</v>
      </c>
      <c r="J5" s="15">
        <f>+' Budget de Trésorerie.'!I5*0.2</f>
        <v>309.8</v>
      </c>
      <c r="K5" s="15">
        <f>+' Budget de Trésorerie.'!J5*0.2</f>
        <v>309.8</v>
      </c>
      <c r="L5" s="15">
        <f>+' Budget de Trésorerie.'!K5*0.2</f>
        <v>309.8</v>
      </c>
      <c r="M5" s="15">
        <f>+' Budget de Trésorerie.'!L5*0.2</f>
        <v>309.8</v>
      </c>
      <c r="N5" s="15">
        <f>SUM(B5:M5)</f>
        <v>3817.728000000001</v>
      </c>
    </row>
    <row r="6" spans="1:14" ht="13.7" customHeight="1">
      <c r="A6" s="22" t="s">
        <v>37</v>
      </c>
      <c r="B6" s="24">
        <f>816.66*0.2</f>
        <v>163.33199999999999</v>
      </c>
      <c r="C6" s="24">
        <f>816.66*0.2</f>
        <v>163.33199999999999</v>
      </c>
      <c r="D6" s="15">
        <f>816.66*0.2</f>
        <v>163.33199999999999</v>
      </c>
      <c r="E6" s="15">
        <f>914.83*0.2</f>
        <v>182.96600000000001</v>
      </c>
      <c r="F6" s="15">
        <f>+' Budget de Trésorerie.'!F6*0.2</f>
        <v>231.38800000000003</v>
      </c>
      <c r="G6" s="15">
        <f>+' Budget de Trésorerie.'!G6*0.2</f>
        <v>252.21292000000005</v>
      </c>
      <c r="H6" s="15">
        <f>+' Budget de Trésorerie.'!H6*0.2</f>
        <v>274.91208280000006</v>
      </c>
      <c r="I6" s="15">
        <f>+' Budget de Trésorerie.'!I6*0.2</f>
        <v>133</v>
      </c>
      <c r="J6" s="15">
        <f>+' Budget de Trésorerie.'!J6*0.2</f>
        <v>282.74400000000003</v>
      </c>
      <c r="K6" s="15">
        <f>+' Budget de Trésorerie.'!K6*0.2</f>
        <v>274.42800000000005</v>
      </c>
      <c r="L6" s="15">
        <f>+' Budget de Trésorerie.'!L6*0.2</f>
        <v>257.79599999999999</v>
      </c>
      <c r="M6" s="15">
        <f>+' Budget de Trésorerie.'!M6*0.2</f>
        <v>241.16399999999999</v>
      </c>
      <c r="N6" s="15">
        <f>SUM(B6:M6)</f>
        <v>2620.6070027999995</v>
      </c>
    </row>
    <row r="7" spans="1:14" ht="13.7" customHeight="1">
      <c r="A7" s="23" t="s">
        <v>38</v>
      </c>
      <c r="B7" s="24">
        <f>1129.56*0.2</f>
        <v>225.91200000000001</v>
      </c>
      <c r="C7" s="24">
        <f>1129.56*0.2</f>
        <v>225.91200000000001</v>
      </c>
      <c r="D7" s="15">
        <f>3775*0.2</f>
        <v>755</v>
      </c>
      <c r="E7" s="15">
        <f>3490*0.2</f>
        <v>698</v>
      </c>
      <c r="F7" s="15">
        <f>3490*0.2</f>
        <v>698</v>
      </c>
      <c r="G7" s="15">
        <f t="shared" ref="G7:M7" si="1">3490*0.2</f>
        <v>698</v>
      </c>
      <c r="H7" s="15">
        <f t="shared" si="1"/>
        <v>698</v>
      </c>
      <c r="I7" s="15">
        <f t="shared" si="1"/>
        <v>698</v>
      </c>
      <c r="J7" s="15">
        <f t="shared" si="1"/>
        <v>698</v>
      </c>
      <c r="K7" s="15">
        <f t="shared" si="1"/>
        <v>698</v>
      </c>
      <c r="L7" s="15">
        <f t="shared" si="1"/>
        <v>698</v>
      </c>
      <c r="M7" s="15">
        <f t="shared" si="1"/>
        <v>698</v>
      </c>
      <c r="N7" s="15">
        <f>SUM(B7:M7)</f>
        <v>7488.8240000000005</v>
      </c>
    </row>
    <row r="8" spans="1:14" ht="13.7" customHeight="1">
      <c r="A8" s="2"/>
      <c r="B8" s="24"/>
      <c r="C8" s="2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ht="13.7" customHeight="1">
      <c r="A9" s="32" t="s">
        <v>33</v>
      </c>
      <c r="B9" s="31">
        <f>SUM(B4:B8)</f>
        <v>918.27600000000007</v>
      </c>
      <c r="C9" s="31">
        <f>SUM(C4:C8)</f>
        <v>918.27600000000007</v>
      </c>
      <c r="D9" s="31">
        <f>+SUM(D4:D8)</f>
        <v>1447.3200000000002</v>
      </c>
      <c r="E9" s="31">
        <f t="shared" ref="E9:M9" si="2">SUM(E4:E8)</f>
        <v>1449.13</v>
      </c>
      <c r="F9" s="31">
        <f t="shared" si="2"/>
        <v>1503.9880000000001</v>
      </c>
      <c r="G9" s="31">
        <f t="shared" si="2"/>
        <v>1426.61292</v>
      </c>
      <c r="H9" s="31">
        <f t="shared" si="2"/>
        <v>1476.7120828000002</v>
      </c>
      <c r="I9" s="31">
        <f t="shared" si="2"/>
        <v>1320.6</v>
      </c>
      <c r="J9" s="31">
        <f t="shared" si="2"/>
        <v>1412.144</v>
      </c>
      <c r="K9" s="31">
        <f t="shared" si="2"/>
        <v>1425.828</v>
      </c>
      <c r="L9" s="31">
        <f t="shared" si="2"/>
        <v>1359.1959999999999</v>
      </c>
      <c r="M9" s="31">
        <f t="shared" si="2"/>
        <v>1307.164</v>
      </c>
      <c r="N9" s="31">
        <f>SUM(B9:M9)</f>
        <v>15965.247002800003</v>
      </c>
    </row>
    <row r="10" spans="1:14" ht="13.7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3.7" customHeight="1">
      <c r="A11" s="4" t="s">
        <v>14</v>
      </c>
      <c r="B11" s="57">
        <f>+' Budget de Trésorerie.'!B15*0.2</f>
        <v>0</v>
      </c>
      <c r="C11" s="57">
        <f>+' Budget de Trésorerie.'!C15*0.2</f>
        <v>0</v>
      </c>
      <c r="D11" s="57">
        <f>+' Budget de Trésorerie.'!D15*0.2</f>
        <v>0</v>
      </c>
      <c r="E11" s="57">
        <f>+' Budget de Trésorerie.'!E15*0.2</f>
        <v>0</v>
      </c>
      <c r="F11" s="57">
        <f>+' Budget de Trésorerie.'!F15*0.2</f>
        <v>0</v>
      </c>
      <c r="G11" s="57">
        <f>+' Budget de Trésorerie.'!G15*0.2</f>
        <v>0</v>
      </c>
      <c r="H11" s="57">
        <f>+' Budget de Trésorerie.'!H15*0.2</f>
        <v>0</v>
      </c>
      <c r="I11" s="57">
        <f>+' Budget de Trésorerie.'!I15*0.2</f>
        <v>0</v>
      </c>
      <c r="J11" s="57">
        <f>+' Budget de Trésorerie.'!J15*0.2</f>
        <v>0</v>
      </c>
      <c r="K11" s="57">
        <f>+' Budget de Trésorerie.'!K15*0.2</f>
        <v>0</v>
      </c>
      <c r="L11" s="57">
        <f>+' Budget de Trésorerie.'!L15*0.2</f>
        <v>0</v>
      </c>
      <c r="M11" s="57">
        <f>+' Budget de Trésorerie.'!M15*0.2</f>
        <v>55.027999999999999</v>
      </c>
      <c r="N11" s="15">
        <f t="shared" ref="N11:N24" si="3">SUM(B11:M11)</f>
        <v>55.027999999999999</v>
      </c>
    </row>
    <row r="12" spans="1:14" ht="13.7" customHeight="1">
      <c r="A12" s="22" t="s">
        <v>40</v>
      </c>
      <c r="B12" s="24">
        <f>+' Budget de Trésorerie.'!B17*0.2</f>
        <v>25.6</v>
      </c>
      <c r="C12" s="24">
        <f>+' Budget de Trésorerie.'!C17*0.2</f>
        <v>0</v>
      </c>
      <c r="D12" s="24">
        <f>+' Budget de Trésorerie.'!D17*0.2</f>
        <v>51</v>
      </c>
      <c r="E12" s="24">
        <f>+' Budget de Trésorerie.'!E17*0.2</f>
        <v>0</v>
      </c>
      <c r="F12" s="24">
        <f>+' Budget de Trésorerie.'!F17*0.2</f>
        <v>43.400000000000006</v>
      </c>
      <c r="G12" s="24">
        <f>+' Budget de Trésorerie.'!G17*0.2</f>
        <v>0</v>
      </c>
      <c r="H12" s="24">
        <f>+' Budget de Trésorerie.'!H17*0.2</f>
        <v>126</v>
      </c>
      <c r="I12" s="24">
        <f>+' Budget de Trésorerie.'!I17*0.2</f>
        <v>0</v>
      </c>
      <c r="J12" s="24">
        <f>+' Budget de Trésorerie.'!J17*0.2</f>
        <v>66.2</v>
      </c>
      <c r="K12" s="24">
        <f>+' Budget de Trésorerie.'!K17*0.2</f>
        <v>0</v>
      </c>
      <c r="L12" s="24">
        <f>+' Budget de Trésorerie.'!L17*0.2</f>
        <v>59.400000000000006</v>
      </c>
      <c r="M12" s="24">
        <f>+' Budget de Trésorerie.'!M17*0.2</f>
        <v>0</v>
      </c>
      <c r="N12" s="15">
        <f t="shared" si="3"/>
        <v>371.6</v>
      </c>
    </row>
    <row r="13" spans="1:14" ht="13.7" customHeight="1">
      <c r="A13" s="29" t="s">
        <v>43</v>
      </c>
      <c r="B13" s="24">
        <f>+' Budget de Trésorerie.'!B18*0.2</f>
        <v>96.334000000000003</v>
      </c>
      <c r="C13" s="24">
        <f>+' Budget de Trésorerie.'!C18*0.2</f>
        <v>96.334000000000003</v>
      </c>
      <c r="D13" s="24">
        <f>+' Budget de Trésorerie.'!D18*0.2</f>
        <v>96.334000000000003</v>
      </c>
      <c r="E13" s="24">
        <f>+' Budget de Trésorerie.'!E18*0.2</f>
        <v>60</v>
      </c>
      <c r="F13" s="24">
        <f>+' Budget de Trésorerie.'!F18*0.2</f>
        <v>60</v>
      </c>
      <c r="G13" s="24">
        <f>+' Budget de Trésorerie.'!G18*0.2</f>
        <v>60</v>
      </c>
      <c r="H13" s="24">
        <f>+' Budget de Trésorerie.'!H18*0.2</f>
        <v>142.83199999999999</v>
      </c>
      <c r="I13" s="24">
        <f>+' Budget de Trésorerie.'!I18*0.2</f>
        <v>60</v>
      </c>
      <c r="J13" s="24">
        <f>+' Budget de Trésorerie.'!J18*0.2</f>
        <v>98</v>
      </c>
      <c r="K13" s="24">
        <f>+' Budget de Trésorerie.'!K18*0.2</f>
        <v>98</v>
      </c>
      <c r="L13" s="24">
        <f>+' Budget de Trésorerie.'!L18*0.2</f>
        <v>180.8</v>
      </c>
      <c r="M13" s="24">
        <f>+' Budget de Trésorerie.'!M18*0.2</f>
        <v>98</v>
      </c>
      <c r="N13" s="15">
        <f t="shared" si="3"/>
        <v>1146.634</v>
      </c>
    </row>
    <row r="14" spans="1:14" ht="13.7" customHeight="1">
      <c r="A14" s="22" t="s">
        <v>42</v>
      </c>
      <c r="B14" s="24">
        <f>+' Budget de Trésorerie.'!B19*0.2</f>
        <v>56</v>
      </c>
      <c r="C14" s="24">
        <f>+' Budget de Trésorerie.'!C19*0.2</f>
        <v>56</v>
      </c>
      <c r="D14" s="24">
        <f>+' Budget de Trésorerie.'!D19*0.2</f>
        <v>56</v>
      </c>
      <c r="E14" s="24">
        <f>+' Budget de Trésorerie.'!E19*0.2</f>
        <v>56</v>
      </c>
      <c r="F14" s="24">
        <f>+' Budget de Trésorerie.'!F19*0.2</f>
        <v>56</v>
      </c>
      <c r="G14" s="24">
        <f>+' Budget de Trésorerie.'!G19*0.2</f>
        <v>56</v>
      </c>
      <c r="H14" s="24">
        <f>+' Budget de Trésorerie.'!H19*0.2</f>
        <v>56</v>
      </c>
      <c r="I14" s="24">
        <f>+' Budget de Trésorerie.'!I19*0.2</f>
        <v>166</v>
      </c>
      <c r="J14" s="24">
        <f>+' Budget de Trésorerie.'!J19*0.2</f>
        <v>82</v>
      </c>
      <c r="K14" s="24">
        <f>+' Budget de Trésorerie.'!K19*0.2</f>
        <v>82</v>
      </c>
      <c r="L14" s="24">
        <f>+' Budget de Trésorerie.'!L19*0.2</f>
        <v>82</v>
      </c>
      <c r="M14" s="24">
        <f>+' Budget de Trésorerie.'!M19*0.2</f>
        <v>82</v>
      </c>
      <c r="N14" s="15">
        <f t="shared" si="3"/>
        <v>886</v>
      </c>
    </row>
    <row r="15" spans="1:14" ht="13.7" customHeight="1">
      <c r="A15" s="4" t="s">
        <v>16</v>
      </c>
      <c r="B15" s="24">
        <f>+' Budget de Trésorerie.'!B20*0.2</f>
        <v>16.8</v>
      </c>
      <c r="C15" s="24">
        <f>+' Budget de Trésorerie.'!C20*0.2</f>
        <v>16.8</v>
      </c>
      <c r="D15" s="24">
        <f>+' Budget de Trésorerie.'!D20*0.2</f>
        <v>16.8</v>
      </c>
      <c r="E15" s="24">
        <f>+' Budget de Trésorerie.'!E20*0.2</f>
        <v>16.8</v>
      </c>
      <c r="F15" s="24">
        <f>+' Budget de Trésorerie.'!F20*0.2</f>
        <v>16.8</v>
      </c>
      <c r="G15" s="24">
        <f>+' Budget de Trésorerie.'!G20*0.2</f>
        <v>16.8</v>
      </c>
      <c r="H15" s="24">
        <f>+' Budget de Trésorerie.'!H20*0.2</f>
        <v>16.8</v>
      </c>
      <c r="I15" s="24">
        <f>+' Budget de Trésorerie.'!I20*0.2</f>
        <v>16.8</v>
      </c>
      <c r="J15" s="24">
        <f>+' Budget de Trésorerie.'!J20*0.2</f>
        <v>16.8</v>
      </c>
      <c r="K15" s="24">
        <f>+' Budget de Trésorerie.'!K20*0.2</f>
        <v>16.8</v>
      </c>
      <c r="L15" s="24">
        <f>+' Budget de Trésorerie.'!L20*0.2</f>
        <v>16.8</v>
      </c>
      <c r="M15" s="24">
        <f>+' Budget de Trésorerie.'!M20*0.2</f>
        <v>16.8</v>
      </c>
      <c r="N15" s="15">
        <f t="shared" si="3"/>
        <v>201.60000000000005</v>
      </c>
    </row>
    <row r="16" spans="1:14" ht="13.7" customHeight="1">
      <c r="A16" s="23" t="s">
        <v>41</v>
      </c>
      <c r="B16" s="24">
        <f>+' Budget de Trésorerie.'!B21*0.2</f>
        <v>0</v>
      </c>
      <c r="C16" s="24">
        <f>+' Budget de Trésorerie.'!C21*0.2</f>
        <v>0</v>
      </c>
      <c r="D16" s="24">
        <f>+' Budget de Trésorerie.'!D21*0.2</f>
        <v>0</v>
      </c>
      <c r="E16" s="24">
        <f>+' Budget de Trésorerie.'!E21*0.2</f>
        <v>0</v>
      </c>
      <c r="F16" s="24">
        <f>+' Budget de Trésorerie.'!F21*0.2</f>
        <v>47.5</v>
      </c>
      <c r="G16" s="24">
        <f>+' Budget de Trésorerie.'!G21*0.2</f>
        <v>47.5</v>
      </c>
      <c r="H16" s="24">
        <f>+' Budget de Trésorerie.'!H21*0.2</f>
        <v>47.5</v>
      </c>
      <c r="I16" s="24">
        <f>+' Budget de Trésorerie.'!I21*0.2</f>
        <v>47.5</v>
      </c>
      <c r="J16" s="24">
        <f>+' Budget de Trésorerie.'!J21*0.2</f>
        <v>47.5</v>
      </c>
      <c r="K16" s="24">
        <f>+' Budget de Trésorerie.'!K21*0.2</f>
        <v>47.5</v>
      </c>
      <c r="L16" s="24">
        <f>+' Budget de Trésorerie.'!L21*0.2</f>
        <v>47.5</v>
      </c>
      <c r="M16" s="24">
        <f>+' Budget de Trésorerie.'!M21*0.2</f>
        <v>0</v>
      </c>
      <c r="N16" s="15">
        <f t="shared" si="3"/>
        <v>332.5</v>
      </c>
    </row>
    <row r="17" spans="1:14" ht="13.7" customHeight="1">
      <c r="A17" s="4" t="s">
        <v>23</v>
      </c>
      <c r="B17" s="24">
        <f>+' Budget de Trésorerie.'!B33*0.2</f>
        <v>5</v>
      </c>
      <c r="C17" s="24">
        <f>+' Budget de Trésorerie.'!C33*0.2</f>
        <v>5</v>
      </c>
      <c r="D17" s="24">
        <f>+' Budget de Trésorerie.'!D33*0.2</f>
        <v>5</v>
      </c>
      <c r="E17" s="24">
        <f>+' Budget de Trésorerie.'!E33*0.2</f>
        <v>5</v>
      </c>
      <c r="F17" s="24">
        <f>+' Budget de Trésorerie.'!F33*0.2</f>
        <v>5</v>
      </c>
      <c r="G17" s="24">
        <f>+' Budget de Trésorerie.'!G33*0.2</f>
        <v>5</v>
      </c>
      <c r="H17" s="24">
        <f>+' Budget de Trésorerie.'!H33*0.2</f>
        <v>5</v>
      </c>
      <c r="I17" s="24">
        <f>+' Budget de Trésorerie.'!I33*0.2</f>
        <v>5</v>
      </c>
      <c r="J17" s="24">
        <f>+' Budget de Trésorerie.'!J33*0.2</f>
        <v>5</v>
      </c>
      <c r="K17" s="24">
        <f>+' Budget de Trésorerie.'!K33*0.2</f>
        <v>5</v>
      </c>
      <c r="L17" s="24">
        <f>+' Budget de Trésorerie.'!L33*0.2</f>
        <v>5</v>
      </c>
      <c r="M17" s="24">
        <f>+' Budget de Trésorerie.'!M33*0.2</f>
        <v>5</v>
      </c>
      <c r="N17" s="15">
        <f t="shared" si="3"/>
        <v>60</v>
      </c>
    </row>
    <row r="18" spans="1:14" ht="13.7" customHeight="1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15">
        <f t="shared" si="3"/>
        <v>0</v>
      </c>
    </row>
    <row r="19" spans="1:14" ht="13.7" customHeight="1">
      <c r="A19" s="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5">
        <f t="shared" si="3"/>
        <v>0</v>
      </c>
    </row>
    <row r="20" spans="1:14" ht="13.7" customHeight="1">
      <c r="A20" s="4"/>
      <c r="B20" s="2"/>
      <c r="C20" s="2"/>
      <c r="D20" s="2"/>
      <c r="E20" s="2"/>
      <c r="F20" s="2"/>
      <c r="G20" s="5"/>
      <c r="H20" s="2"/>
      <c r="I20" s="2"/>
      <c r="J20" s="2"/>
      <c r="K20" s="2"/>
      <c r="L20" s="2"/>
      <c r="M20" s="2"/>
      <c r="N20" s="15">
        <f t="shared" si="3"/>
        <v>0</v>
      </c>
    </row>
    <row r="21" spans="1:14" ht="13.7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5">
        <f t="shared" si="3"/>
        <v>0</v>
      </c>
    </row>
    <row r="22" spans="1:14" ht="13.7" customHeight="1">
      <c r="A22" s="20" t="s">
        <v>34</v>
      </c>
      <c r="B22" s="21">
        <f t="shared" ref="B22:M22" si="4">SUM(B12:B20)</f>
        <v>199.73400000000001</v>
      </c>
      <c r="C22" s="21">
        <f t="shared" si="4"/>
        <v>174.13400000000001</v>
      </c>
      <c r="D22" s="21">
        <f t="shared" si="4"/>
        <v>225.13400000000001</v>
      </c>
      <c r="E22" s="21">
        <f t="shared" si="4"/>
        <v>137.80000000000001</v>
      </c>
      <c r="F22" s="21">
        <f t="shared" si="4"/>
        <v>228.70000000000002</v>
      </c>
      <c r="G22" s="21">
        <f t="shared" si="4"/>
        <v>185.3</v>
      </c>
      <c r="H22" s="21">
        <f t="shared" si="4"/>
        <v>394.13200000000001</v>
      </c>
      <c r="I22" s="21">
        <f t="shared" si="4"/>
        <v>295.3</v>
      </c>
      <c r="J22" s="21">
        <f t="shared" si="4"/>
        <v>315.5</v>
      </c>
      <c r="K22" s="21">
        <f t="shared" si="4"/>
        <v>249.3</v>
      </c>
      <c r="L22" s="21">
        <f t="shared" si="4"/>
        <v>391.50000000000006</v>
      </c>
      <c r="M22" s="21">
        <f t="shared" si="4"/>
        <v>201.8</v>
      </c>
      <c r="N22" s="15">
        <f t="shared" si="3"/>
        <v>2998.3340000000007</v>
      </c>
    </row>
    <row r="23" spans="1:14" ht="13.7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5">
        <f t="shared" si="3"/>
        <v>0</v>
      </c>
    </row>
    <row r="24" spans="1:14" ht="13.7" customHeight="1">
      <c r="A24" s="4" t="s">
        <v>35</v>
      </c>
      <c r="B24" s="5">
        <f>B9-B22</f>
        <v>718.54200000000003</v>
      </c>
      <c r="C24" s="5">
        <f>C9-C22</f>
        <v>744.14200000000005</v>
      </c>
      <c r="D24" s="5">
        <f>D9-D22</f>
        <v>1222.1860000000001</v>
      </c>
      <c r="E24" s="5">
        <f>E9-E22</f>
        <v>1311.3300000000002</v>
      </c>
      <c r="F24" s="5">
        <f>F9-F22</f>
        <v>1275.288</v>
      </c>
      <c r="G24" s="5">
        <f>+G9-G22</f>
        <v>1241.3129200000001</v>
      </c>
      <c r="H24" s="5">
        <f>+H9-H22</f>
        <v>1082.5800828000001</v>
      </c>
      <c r="I24" s="5">
        <f>+I9-I22</f>
        <v>1025.3</v>
      </c>
      <c r="J24" s="5">
        <f>J9-J22</f>
        <v>1096.644</v>
      </c>
      <c r="K24" s="5">
        <f>K9-K22</f>
        <v>1176.528</v>
      </c>
      <c r="L24" s="5">
        <f>L9-L22</f>
        <v>967.69599999999991</v>
      </c>
      <c r="M24" s="5">
        <f>M9-M22</f>
        <v>1105.364</v>
      </c>
      <c r="N24" s="15">
        <f t="shared" si="3"/>
        <v>12966.913002800002</v>
      </c>
    </row>
  </sheetData>
  <pageMargins left="0.7" right="0.7" top="0.75" bottom="0.75" header="0.3" footer="0.3"/>
  <pageSetup orientation="landscape"/>
  <headerFooter>
    <oddFooter>&amp;C&amp;"Helvetica,Regular"&amp;12&amp;K000000&amp;P</oddFooter>
  </headerFooter>
  <ignoredErrors>
    <ignoredError sqref="D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IW53"/>
  <sheetViews>
    <sheetView tabSelected="1" zoomScale="70" zoomScaleNormal="70" workbookViewId="0">
      <selection activeCell="O10" sqref="O10"/>
    </sheetView>
  </sheetViews>
  <sheetFormatPr baseColWidth="10" defaultColWidth="10.85546875" defaultRowHeight="13.15" customHeight="1"/>
  <cols>
    <col min="1" max="1" width="32.28515625" style="19" customWidth="1"/>
    <col min="2" max="2" width="12" style="27" customWidth="1"/>
    <col min="3" max="3" width="10.85546875" style="27" customWidth="1"/>
    <col min="4" max="13" width="10.85546875" style="19" customWidth="1"/>
    <col min="14" max="14" width="15.28515625" style="37" customWidth="1"/>
    <col min="15" max="15" width="10.85546875" style="19" customWidth="1"/>
    <col min="16" max="16" width="14.42578125" style="19" customWidth="1"/>
    <col min="17" max="18" width="11.85546875" style="19" customWidth="1"/>
    <col min="19" max="257" width="10.85546875" style="19" customWidth="1"/>
  </cols>
  <sheetData>
    <row r="1" spans="1:19" ht="13.15" customHeight="1">
      <c r="A1" s="2"/>
      <c r="B1" s="25"/>
      <c r="C1" s="25"/>
      <c r="D1" s="13"/>
      <c r="E1" s="13"/>
      <c r="F1" s="13"/>
      <c r="G1" s="13"/>
      <c r="H1" s="13"/>
      <c r="I1" s="13"/>
      <c r="J1" s="13"/>
      <c r="K1" s="13"/>
      <c r="L1" s="13"/>
      <c r="M1" s="13"/>
      <c r="N1" s="33"/>
    </row>
    <row r="2" spans="1:19" ht="13.15" customHeight="1">
      <c r="A2" s="2"/>
      <c r="B2" s="48" t="s">
        <v>55</v>
      </c>
      <c r="C2" s="48" t="s">
        <v>56</v>
      </c>
      <c r="D2" s="48" t="s">
        <v>57</v>
      </c>
      <c r="E2" s="48" t="s">
        <v>58</v>
      </c>
      <c r="F2" s="48" t="s">
        <v>59</v>
      </c>
      <c r="G2" s="48" t="s">
        <v>60</v>
      </c>
      <c r="H2" s="48" t="s">
        <v>61</v>
      </c>
      <c r="I2" s="48" t="s">
        <v>62</v>
      </c>
      <c r="J2" s="48" t="s">
        <v>63</v>
      </c>
      <c r="K2" s="48" t="s">
        <v>64</v>
      </c>
      <c r="L2" s="48" t="s">
        <v>65</v>
      </c>
      <c r="M2" s="48" t="s">
        <v>66</v>
      </c>
      <c r="N2" s="14" t="s">
        <v>19</v>
      </c>
    </row>
    <row r="3" spans="1:19" ht="13.15" customHeight="1">
      <c r="A3" s="6" t="s">
        <v>20</v>
      </c>
      <c r="B3" s="24"/>
      <c r="C3" s="24"/>
      <c r="D3" s="15"/>
      <c r="E3" s="15"/>
      <c r="F3" s="15"/>
      <c r="G3" s="15"/>
      <c r="H3" s="24"/>
      <c r="I3" s="24"/>
      <c r="J3" s="24"/>
      <c r="K3" s="24"/>
      <c r="L3" s="24"/>
      <c r="M3" s="24"/>
      <c r="N3" s="33"/>
    </row>
    <row r="4" spans="1:19" ht="13.15" customHeight="1">
      <c r="A4" s="22" t="s">
        <v>36</v>
      </c>
      <c r="B4" s="24">
        <v>122</v>
      </c>
      <c r="C4" s="24">
        <v>691</v>
      </c>
      <c r="D4" s="15">
        <v>716</v>
      </c>
      <c r="E4" s="15">
        <v>629</v>
      </c>
      <c r="F4" s="15">
        <v>1324</v>
      </c>
      <c r="G4" s="15">
        <v>833</v>
      </c>
      <c r="H4" s="24">
        <v>970</v>
      </c>
      <c r="I4" s="24">
        <v>899</v>
      </c>
      <c r="J4" s="24">
        <v>608</v>
      </c>
      <c r="K4" s="24">
        <v>718</v>
      </c>
      <c r="L4" s="24">
        <v>468</v>
      </c>
      <c r="M4" s="24">
        <v>291</v>
      </c>
      <c r="N4" s="34">
        <f>SUM(B4:M4)</f>
        <v>8269</v>
      </c>
      <c r="P4" s="43" t="s">
        <v>50</v>
      </c>
      <c r="Q4" s="43" t="s">
        <v>52</v>
      </c>
      <c r="R4" s="43" t="s">
        <v>53</v>
      </c>
      <c r="S4" s="43" t="s">
        <v>51</v>
      </c>
    </row>
    <row r="5" spans="1:19" ht="13.15" customHeight="1">
      <c r="A5" s="23" t="s">
        <v>39</v>
      </c>
      <c r="B5" s="15">
        <v>1549</v>
      </c>
      <c r="C5" s="15">
        <v>1549</v>
      </c>
      <c r="D5" s="15">
        <v>1549</v>
      </c>
      <c r="E5" s="15">
        <v>1549</v>
      </c>
      <c r="F5" s="15">
        <v>1549</v>
      </c>
      <c r="G5" s="15">
        <v>1549</v>
      </c>
      <c r="H5" s="24">
        <v>1549</v>
      </c>
      <c r="I5" s="24">
        <v>1549</v>
      </c>
      <c r="J5" s="24">
        <v>1549</v>
      </c>
      <c r="K5" s="24">
        <v>1549</v>
      </c>
      <c r="L5" s="24">
        <v>1549</v>
      </c>
      <c r="M5" s="24">
        <v>1549</v>
      </c>
      <c r="N5" s="34">
        <f>+SUM(B5:M5)</f>
        <v>18588</v>
      </c>
      <c r="P5" s="44"/>
      <c r="Q5" s="45">
        <v>0.09</v>
      </c>
      <c r="R5" s="45">
        <v>-7.0000000000000007E-2</v>
      </c>
      <c r="S5" s="45">
        <v>0.2</v>
      </c>
    </row>
    <row r="6" spans="1:19" ht="13.15" customHeight="1">
      <c r="A6" s="22" t="s">
        <v>37</v>
      </c>
      <c r="B6" s="42">
        <v>816.66</v>
      </c>
      <c r="C6" s="24">
        <v>816.66</v>
      </c>
      <c r="D6" s="15">
        <v>816.66</v>
      </c>
      <c r="E6" s="15">
        <v>520</v>
      </c>
      <c r="F6" s="15">
        <v>1156.94</v>
      </c>
      <c r="G6" s="15">
        <f t="shared" ref="G6" si="0">+F6+(F6*0.09)</f>
        <v>1261.0646000000002</v>
      </c>
      <c r="H6" s="24">
        <f>+G6+(G6*0.09)</f>
        <v>1374.5604140000003</v>
      </c>
      <c r="I6" s="24">
        <v>665</v>
      </c>
      <c r="J6" s="24">
        <v>1413.72</v>
      </c>
      <c r="K6" s="24">
        <v>1372.14</v>
      </c>
      <c r="L6" s="24">
        <v>1288.98</v>
      </c>
      <c r="M6" s="24">
        <v>1205.82</v>
      </c>
      <c r="N6" s="34">
        <f>+SUM(B6:M6)</f>
        <v>12708.205013999999</v>
      </c>
    </row>
    <row r="7" spans="1:19" ht="13.15" customHeight="1">
      <c r="A7" s="23" t="s">
        <v>38</v>
      </c>
      <c r="B7" s="24">
        <v>4502</v>
      </c>
      <c r="C7" s="24">
        <v>4201</v>
      </c>
      <c r="D7" s="15">
        <v>3401</v>
      </c>
      <c r="E7" s="15">
        <v>4257</v>
      </c>
      <c r="F7" s="15">
        <v>3202.3</v>
      </c>
      <c r="G7" s="15">
        <v>4582</v>
      </c>
      <c r="H7" s="24">
        <f t="shared" ref="H7" si="1">+G7+(G7*0.09)</f>
        <v>4994.38</v>
      </c>
      <c r="I7" s="24">
        <v>3200</v>
      </c>
      <c r="J7" s="24">
        <v>3200</v>
      </c>
      <c r="K7" s="24">
        <v>5931</v>
      </c>
      <c r="L7" s="24">
        <v>2717</v>
      </c>
      <c r="M7" s="24">
        <v>1374</v>
      </c>
      <c r="N7" s="54">
        <f>+SUM(B7:M7)</f>
        <v>45561.68</v>
      </c>
    </row>
    <row r="8" spans="1:19" ht="13.15" customHeight="1">
      <c r="A8" s="22" t="s">
        <v>48</v>
      </c>
      <c r="B8" s="4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56">
        <f>+SUM(B8:M8)</f>
        <v>0</v>
      </c>
    </row>
    <row r="9" spans="1:19" ht="13.15" customHeight="1">
      <c r="A9" s="22" t="s">
        <v>49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55"/>
    </row>
    <row r="10" spans="1:19" ht="13.15" customHeight="1">
      <c r="A10" s="47" t="s">
        <v>121</v>
      </c>
      <c r="B10" s="2"/>
      <c r="C10" s="2">
        <v>500</v>
      </c>
      <c r="D10" s="2"/>
      <c r="E10" s="2"/>
      <c r="F10" s="2">
        <v>500</v>
      </c>
      <c r="G10" s="2"/>
      <c r="H10" s="2"/>
      <c r="I10" s="2">
        <v>500</v>
      </c>
      <c r="J10" s="2"/>
      <c r="K10" s="2"/>
      <c r="L10" s="2">
        <v>500</v>
      </c>
      <c r="M10" s="2"/>
      <c r="N10" s="35">
        <f>+SUM(B10:M10)</f>
        <v>2000</v>
      </c>
    </row>
    <row r="11" spans="1:19" ht="13.15" customHeight="1">
      <c r="A11" s="49" t="s">
        <v>67</v>
      </c>
      <c r="B11" s="24"/>
      <c r="C11" s="2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34">
        <f>+SUM(B11:M11)</f>
        <v>0</v>
      </c>
    </row>
    <row r="12" spans="1:19" ht="13.15" customHeight="1">
      <c r="A12" s="30" t="s">
        <v>21</v>
      </c>
      <c r="B12" s="31">
        <f>SUM(B4:B11)</f>
        <v>6989.66</v>
      </c>
      <c r="C12" s="31">
        <f>SUM(C4:C11)</f>
        <v>7757.66</v>
      </c>
      <c r="D12" s="31">
        <f>+SUM(D4:D11)</f>
        <v>6482.66</v>
      </c>
      <c r="E12" s="31">
        <f t="shared" ref="E12:M12" si="2">SUM(E4:E11)</f>
        <v>6955</v>
      </c>
      <c r="F12" s="31">
        <f t="shared" si="2"/>
        <v>7732.24</v>
      </c>
      <c r="G12" s="31">
        <f t="shared" si="2"/>
        <v>8225.0645999999997</v>
      </c>
      <c r="H12" s="31">
        <f t="shared" si="2"/>
        <v>8887.9404140000006</v>
      </c>
      <c r="I12" s="31">
        <f t="shared" si="2"/>
        <v>6813</v>
      </c>
      <c r="J12" s="31">
        <f t="shared" si="2"/>
        <v>6770.72</v>
      </c>
      <c r="K12" s="31">
        <f t="shared" si="2"/>
        <v>9570.14</v>
      </c>
      <c r="L12" s="31">
        <f t="shared" si="2"/>
        <v>6522.98</v>
      </c>
      <c r="M12" s="31">
        <f t="shared" si="2"/>
        <v>4419.82</v>
      </c>
      <c r="N12" s="36">
        <f>+N4+N5+N6+N7+N8+N9+N10+N11</f>
        <v>87126.885014</v>
      </c>
    </row>
    <row r="13" spans="1:19" ht="13.15" customHeight="1">
      <c r="A13" s="2"/>
      <c r="B13" s="24"/>
      <c r="C13" s="24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33"/>
    </row>
    <row r="14" spans="1:19" ht="13.15" customHeight="1">
      <c r="A14" s="4" t="s">
        <v>12</v>
      </c>
      <c r="B14" s="24">
        <f>+Charges!B3</f>
        <v>0</v>
      </c>
      <c r="C14" s="24">
        <f>+Charges!C3</f>
        <v>9318.32</v>
      </c>
      <c r="D14" s="24">
        <f>+Charges!D3</f>
        <v>0</v>
      </c>
      <c r="E14" s="24">
        <f>+Charges!E3</f>
        <v>0</v>
      </c>
      <c r="F14" s="24">
        <f>+Charges!F3</f>
        <v>11338</v>
      </c>
      <c r="G14" s="24">
        <f>+Charges!G3</f>
        <v>0</v>
      </c>
      <c r="H14" s="24">
        <f>+Charges!H3</f>
        <v>0</v>
      </c>
      <c r="I14" s="24">
        <f>+Charges!I3</f>
        <v>11338</v>
      </c>
      <c r="J14" s="24">
        <f>+Charges!J3</f>
        <v>0</v>
      </c>
      <c r="K14" s="24">
        <f>+Charges!K3</f>
        <v>0</v>
      </c>
      <c r="L14" s="24">
        <f>+Charges!L3</f>
        <v>11338</v>
      </c>
      <c r="M14" s="24">
        <f>+Charges!M3</f>
        <v>0</v>
      </c>
      <c r="N14" s="34">
        <f t="shared" ref="N14:N42" si="3">SUM(B14:M14)</f>
        <v>43332.32</v>
      </c>
    </row>
    <row r="15" spans="1:19" ht="13.15" customHeight="1">
      <c r="A15" s="4" t="s">
        <v>14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>
        <v>275.14</v>
      </c>
      <c r="N15" s="34">
        <f t="shared" si="3"/>
        <v>275.14</v>
      </c>
    </row>
    <row r="16" spans="1:19" ht="13.15" customHeight="1">
      <c r="A16" s="4" t="s">
        <v>15</v>
      </c>
      <c r="B16" s="24">
        <f>'1'!$B66/3</f>
        <v>333.33333333333331</v>
      </c>
      <c r="C16" s="28" t="s">
        <v>44</v>
      </c>
      <c r="D16" s="15"/>
      <c r="E16" s="15">
        <f>'1'!$B66/3</f>
        <v>333.33333333333331</v>
      </c>
      <c r="F16" s="15"/>
      <c r="G16" s="15"/>
      <c r="H16" s="15">
        <f>'1'!$B66/3</f>
        <v>333.33333333333331</v>
      </c>
      <c r="I16" s="15"/>
      <c r="J16" s="15"/>
      <c r="K16" s="15">
        <f>'1'!$B66/3</f>
        <v>333.33333333333331</v>
      </c>
      <c r="L16" s="15"/>
      <c r="M16" s="15"/>
      <c r="N16" s="34">
        <f t="shared" si="3"/>
        <v>1333.3333333333333</v>
      </c>
    </row>
    <row r="17" spans="1:14" ht="13.15" customHeight="1">
      <c r="A17" s="22" t="s">
        <v>40</v>
      </c>
      <c r="B17" s="24">
        <v>128</v>
      </c>
      <c r="C17" s="24"/>
      <c r="D17" s="24">
        <v>255</v>
      </c>
      <c r="E17" s="15"/>
      <c r="F17" s="24">
        <v>217</v>
      </c>
      <c r="G17" s="15"/>
      <c r="H17" s="24">
        <v>630</v>
      </c>
      <c r="I17" s="15"/>
      <c r="J17" s="24">
        <v>331</v>
      </c>
      <c r="K17" s="15"/>
      <c r="L17" s="24">
        <v>297</v>
      </c>
      <c r="M17" s="15"/>
      <c r="N17" s="34">
        <f t="shared" si="3"/>
        <v>1858</v>
      </c>
    </row>
    <row r="18" spans="1:14" ht="27.75" customHeight="1">
      <c r="A18" s="52" t="s">
        <v>81</v>
      </c>
      <c r="B18" s="24">
        <v>481.67</v>
      </c>
      <c r="C18" s="24">
        <v>481.67</v>
      </c>
      <c r="D18" s="24">
        <v>481.67</v>
      </c>
      <c r="E18" s="15">
        <v>300</v>
      </c>
      <c r="F18" s="15">
        <v>300</v>
      </c>
      <c r="G18" s="15">
        <v>300</v>
      </c>
      <c r="H18" s="15">
        <v>714.16</v>
      </c>
      <c r="I18" s="15">
        <v>300</v>
      </c>
      <c r="J18" s="15">
        <v>490</v>
      </c>
      <c r="K18" s="15">
        <v>490</v>
      </c>
      <c r="L18" s="15">
        <v>904</v>
      </c>
      <c r="M18" s="15">
        <v>490</v>
      </c>
      <c r="N18" s="34">
        <f t="shared" si="3"/>
        <v>5733.17</v>
      </c>
    </row>
    <row r="19" spans="1:14" ht="17.25" customHeight="1">
      <c r="A19" s="47" t="s">
        <v>80</v>
      </c>
      <c r="B19" s="24">
        <f>+Charges!B7</f>
        <v>280</v>
      </c>
      <c r="C19" s="24">
        <f>+Charges!C7</f>
        <v>280</v>
      </c>
      <c r="D19" s="24">
        <f>+Charges!D7</f>
        <v>280</v>
      </c>
      <c r="E19" s="24">
        <f>+Charges!E7</f>
        <v>280</v>
      </c>
      <c r="F19" s="24">
        <f>+Charges!F7</f>
        <v>280</v>
      </c>
      <c r="G19" s="24">
        <f>+Charges!G7</f>
        <v>280</v>
      </c>
      <c r="H19" s="24">
        <f>+Charges!H7</f>
        <v>280</v>
      </c>
      <c r="I19" s="24">
        <f>+Charges!I7</f>
        <v>830</v>
      </c>
      <c r="J19" s="24">
        <f>+Charges!J7</f>
        <v>410</v>
      </c>
      <c r="K19" s="24">
        <f>+Charges!K7</f>
        <v>410</v>
      </c>
      <c r="L19" s="24">
        <f>+Charges!L7</f>
        <v>410</v>
      </c>
      <c r="M19" s="24">
        <f>+Charges!M7</f>
        <v>410</v>
      </c>
      <c r="N19" s="34">
        <f t="shared" si="3"/>
        <v>4430</v>
      </c>
    </row>
    <row r="20" spans="1:14" ht="13.15" customHeight="1">
      <c r="A20" s="47" t="s">
        <v>16</v>
      </c>
      <c r="B20" s="24">
        <v>84</v>
      </c>
      <c r="C20" s="24">
        <v>84</v>
      </c>
      <c r="D20" s="24">
        <v>84</v>
      </c>
      <c r="E20" s="24">
        <v>84</v>
      </c>
      <c r="F20" s="24">
        <v>84</v>
      </c>
      <c r="G20" s="24">
        <v>84</v>
      </c>
      <c r="H20" s="24">
        <v>84</v>
      </c>
      <c r="I20" s="24">
        <v>84</v>
      </c>
      <c r="J20" s="24">
        <v>84</v>
      </c>
      <c r="K20" s="24">
        <v>84</v>
      </c>
      <c r="L20" s="24">
        <v>84</v>
      </c>
      <c r="M20" s="24">
        <v>84</v>
      </c>
      <c r="N20" s="34">
        <f t="shared" si="3"/>
        <v>1008</v>
      </c>
    </row>
    <row r="21" spans="1:14" ht="13.15" customHeight="1">
      <c r="A21" s="23" t="s">
        <v>41</v>
      </c>
      <c r="B21" s="24"/>
      <c r="C21" s="24"/>
      <c r="D21" s="24"/>
      <c r="E21" s="24"/>
      <c r="F21" s="24">
        <v>237.5</v>
      </c>
      <c r="G21" s="24">
        <v>237.5</v>
      </c>
      <c r="H21" s="24">
        <v>237.5</v>
      </c>
      <c r="I21" s="24">
        <v>237.5</v>
      </c>
      <c r="J21" s="24">
        <v>237.5</v>
      </c>
      <c r="K21" s="24">
        <v>237.5</v>
      </c>
      <c r="L21" s="24">
        <v>237.5</v>
      </c>
      <c r="M21" s="24"/>
      <c r="N21" s="34">
        <f t="shared" si="3"/>
        <v>1662.5</v>
      </c>
    </row>
    <row r="22" spans="1:14" ht="13.15" customHeight="1">
      <c r="A22" s="2"/>
      <c r="B22" s="24"/>
      <c r="C22" s="2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34">
        <f t="shared" si="3"/>
        <v>0</v>
      </c>
    </row>
    <row r="23" spans="1:14" ht="13.15" customHeight="1">
      <c r="A23" s="47" t="s">
        <v>45</v>
      </c>
      <c r="B23" s="24">
        <v>1818</v>
      </c>
      <c r="C23" s="24">
        <v>1818</v>
      </c>
      <c r="D23" s="24">
        <v>1818</v>
      </c>
      <c r="E23" s="24">
        <v>1818</v>
      </c>
      <c r="F23" s="24">
        <v>1818</v>
      </c>
      <c r="G23" s="24">
        <v>1818</v>
      </c>
      <c r="H23" s="24">
        <v>1818</v>
      </c>
      <c r="I23" s="24">
        <v>1818</v>
      </c>
      <c r="J23" s="24">
        <v>1818</v>
      </c>
      <c r="K23" s="24">
        <v>1818</v>
      </c>
      <c r="L23" s="24">
        <v>1818</v>
      </c>
      <c r="M23" s="24">
        <v>1818</v>
      </c>
      <c r="N23" s="34">
        <f t="shared" si="3"/>
        <v>21816</v>
      </c>
    </row>
    <row r="24" spans="1:14" ht="13.15" customHeight="1">
      <c r="A24" s="22" t="s">
        <v>46</v>
      </c>
      <c r="B24" s="24"/>
      <c r="C24" s="2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34">
        <f t="shared" si="3"/>
        <v>0</v>
      </c>
    </row>
    <row r="25" spans="1:14" ht="13.15" customHeight="1">
      <c r="A25" s="22" t="s">
        <v>47</v>
      </c>
      <c r="B25" s="24"/>
      <c r="C25" s="24"/>
      <c r="D25" s="15"/>
      <c r="G25" s="15"/>
      <c r="H25" s="15"/>
      <c r="I25" s="15"/>
      <c r="J25" s="15">
        <v>549</v>
      </c>
      <c r="K25" s="15">
        <v>549</v>
      </c>
      <c r="L25" s="15"/>
      <c r="M25" s="15"/>
      <c r="N25" s="34">
        <f t="shared" si="3"/>
        <v>1098</v>
      </c>
    </row>
    <row r="26" spans="1:14" ht="13.15" customHeight="1">
      <c r="A26" s="2"/>
      <c r="B26" s="24"/>
      <c r="C26" s="24"/>
      <c r="D26" s="15"/>
      <c r="E26" s="15"/>
      <c r="F26" s="15"/>
      <c r="G26" s="15"/>
      <c r="H26" s="15"/>
      <c r="I26" s="15"/>
      <c r="L26" s="15"/>
      <c r="M26" s="15"/>
      <c r="N26" s="34">
        <f t="shared" si="3"/>
        <v>0</v>
      </c>
    </row>
    <row r="27" spans="1:14" ht="13.15" customHeight="1">
      <c r="A27" s="4" t="s">
        <v>22</v>
      </c>
      <c r="B27" s="24">
        <f t="shared" ref="B27:M27" si="4">SUM(B23:B26)</f>
        <v>1818</v>
      </c>
      <c r="C27" s="24">
        <f t="shared" si="4"/>
        <v>1818</v>
      </c>
      <c r="D27" s="15">
        <f t="shared" si="4"/>
        <v>1818</v>
      </c>
      <c r="E27" s="15">
        <f t="shared" si="4"/>
        <v>1818</v>
      </c>
      <c r="F27" s="15">
        <f t="shared" si="4"/>
        <v>1818</v>
      </c>
      <c r="G27" s="15">
        <f t="shared" si="4"/>
        <v>1818</v>
      </c>
      <c r="H27" s="15">
        <f t="shared" si="4"/>
        <v>1818</v>
      </c>
      <c r="I27" s="15">
        <f t="shared" si="4"/>
        <v>1818</v>
      </c>
      <c r="J27" s="15">
        <f>SUM(J23:J25)</f>
        <v>2367</v>
      </c>
      <c r="K27" s="15">
        <f>SUM(K23:K25)</f>
        <v>2367</v>
      </c>
      <c r="L27" s="15">
        <f t="shared" si="4"/>
        <v>1818</v>
      </c>
      <c r="M27" s="15">
        <f t="shared" si="4"/>
        <v>1818</v>
      </c>
      <c r="N27" s="34">
        <f t="shared" si="3"/>
        <v>22914</v>
      </c>
    </row>
    <row r="28" spans="1:14" ht="13.15" customHeight="1">
      <c r="A28" s="2"/>
      <c r="B28" s="24"/>
      <c r="C28" s="2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34">
        <f t="shared" si="3"/>
        <v>0</v>
      </c>
    </row>
    <row r="29" spans="1:14" ht="13.15" customHeight="1">
      <c r="A29" s="4" t="s">
        <v>18</v>
      </c>
      <c r="B29" s="24">
        <f>B27*0.6</f>
        <v>1090.8</v>
      </c>
      <c r="C29" s="24">
        <f>C27*0.6</f>
        <v>1090.8</v>
      </c>
      <c r="D29" s="15">
        <f>D27*0.6</f>
        <v>1090.8</v>
      </c>
      <c r="E29" s="15">
        <f>E23*0.6</f>
        <v>1090.8</v>
      </c>
      <c r="F29" s="15">
        <f>F23*0.6</f>
        <v>1090.8</v>
      </c>
      <c r="G29" s="15">
        <f>G23*0.6</f>
        <v>1090.8</v>
      </c>
      <c r="H29" s="15">
        <f t="shared" ref="H29:M29" si="5">H27*0.6</f>
        <v>1090.8</v>
      </c>
      <c r="I29" s="15">
        <f t="shared" si="5"/>
        <v>1090.8</v>
      </c>
      <c r="J29" s="15">
        <f t="shared" si="5"/>
        <v>1420.2</v>
      </c>
      <c r="K29" s="15">
        <f t="shared" si="5"/>
        <v>1420.2</v>
      </c>
      <c r="L29" s="15">
        <f t="shared" si="5"/>
        <v>1090.8</v>
      </c>
      <c r="M29" s="15">
        <f t="shared" si="5"/>
        <v>1090.8</v>
      </c>
      <c r="N29" s="34">
        <f t="shared" si="3"/>
        <v>13748.4</v>
      </c>
    </row>
    <row r="30" spans="1:14" ht="13.15" customHeight="1">
      <c r="A30" s="2"/>
      <c r="B30" s="24"/>
      <c r="C30" s="24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34">
        <f t="shared" si="3"/>
        <v>0</v>
      </c>
    </row>
    <row r="31" spans="1:14" ht="13.15" customHeight="1">
      <c r="A31" s="4" t="s">
        <v>17</v>
      </c>
      <c r="B31" s="24">
        <v>833.33333333333337</v>
      </c>
      <c r="C31" s="24">
        <v>833.33333333333337</v>
      </c>
      <c r="D31" s="15">
        <v>833.33333333333337</v>
      </c>
      <c r="E31" s="15">
        <v>833.33333333333337</v>
      </c>
      <c r="F31" s="15">
        <v>833.33333333333337</v>
      </c>
      <c r="G31" s="15">
        <v>833.33333333333337</v>
      </c>
      <c r="H31" s="15">
        <v>833.33333333333337</v>
      </c>
      <c r="I31" s="15">
        <v>833.33333333333337</v>
      </c>
      <c r="J31" s="15">
        <v>833.33333333333337</v>
      </c>
      <c r="K31" s="15">
        <v>833.33333333333337</v>
      </c>
      <c r="L31" s="15">
        <v>833.33333333333337</v>
      </c>
      <c r="M31" s="15">
        <v>833.33333333333337</v>
      </c>
      <c r="N31" s="34">
        <f t="shared" si="3"/>
        <v>10000</v>
      </c>
    </row>
    <row r="32" spans="1:14" ht="13.15" customHeight="1">
      <c r="A32" s="23"/>
      <c r="B32" s="24"/>
      <c r="C32" s="24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34">
        <f t="shared" si="3"/>
        <v>0</v>
      </c>
    </row>
    <row r="33" spans="1:14" ht="13.15" customHeight="1">
      <c r="A33" s="4" t="s">
        <v>23</v>
      </c>
      <c r="B33" s="24">
        <v>25</v>
      </c>
      <c r="C33" s="24">
        <v>25</v>
      </c>
      <c r="D33" s="24">
        <v>25</v>
      </c>
      <c r="E33" s="24">
        <v>25</v>
      </c>
      <c r="F33" s="24">
        <v>25</v>
      </c>
      <c r="G33" s="24">
        <v>25</v>
      </c>
      <c r="H33" s="24">
        <v>25</v>
      </c>
      <c r="I33" s="24">
        <v>25</v>
      </c>
      <c r="J33" s="24">
        <v>25</v>
      </c>
      <c r="K33" s="24">
        <v>25</v>
      </c>
      <c r="L33" s="24">
        <v>25</v>
      </c>
      <c r="M33" s="24">
        <v>25</v>
      </c>
      <c r="N33" s="34">
        <f t="shared" si="3"/>
        <v>300</v>
      </c>
    </row>
    <row r="34" spans="1:14" ht="13.15" customHeight="1">
      <c r="A34" s="4" t="s">
        <v>24</v>
      </c>
      <c r="B34" s="24">
        <v>859.92</v>
      </c>
      <c r="C34" s="24">
        <v>859.92</v>
      </c>
      <c r="D34" s="24">
        <v>859.92</v>
      </c>
      <c r="E34" s="15">
        <v>1271.92</v>
      </c>
      <c r="F34" s="15">
        <v>1271.92</v>
      </c>
      <c r="G34" s="15">
        <v>1271.92</v>
      </c>
      <c r="H34" s="15">
        <v>1271.92</v>
      </c>
      <c r="I34" s="15">
        <v>1271.92</v>
      </c>
      <c r="J34" s="15">
        <v>1271.92</v>
      </c>
      <c r="K34" s="15">
        <v>1271.92</v>
      </c>
      <c r="L34" s="15">
        <v>1271.92</v>
      </c>
      <c r="M34" s="15">
        <v>1271.92</v>
      </c>
      <c r="N34" s="34">
        <f t="shared" si="3"/>
        <v>14027.04</v>
      </c>
    </row>
    <row r="35" spans="1:14" ht="13.15" customHeight="1">
      <c r="A35" s="4" t="s">
        <v>30</v>
      </c>
      <c r="B35" s="2"/>
      <c r="C35" s="2"/>
      <c r="D35" s="2"/>
      <c r="E35" s="5"/>
      <c r="F35" s="2"/>
      <c r="G35" s="5"/>
      <c r="H35" s="2"/>
      <c r="I35" s="2"/>
      <c r="J35" s="5"/>
      <c r="K35" s="2"/>
      <c r="L35" s="2"/>
      <c r="M35" s="2"/>
      <c r="N35" s="34">
        <f t="shared" si="3"/>
        <v>0</v>
      </c>
    </row>
    <row r="36" spans="1:14" ht="13.15" customHeight="1">
      <c r="A36" s="4" t="s">
        <v>25</v>
      </c>
      <c r="B36" s="24">
        <v>666.66</v>
      </c>
      <c r="C36" s="24">
        <v>666.66</v>
      </c>
      <c r="D36" s="24">
        <v>666.66</v>
      </c>
      <c r="E36" s="24">
        <v>666.66</v>
      </c>
      <c r="F36" s="24">
        <v>666.66</v>
      </c>
      <c r="G36" s="24">
        <v>666.66</v>
      </c>
      <c r="H36" s="24">
        <v>666.66</v>
      </c>
      <c r="I36" s="24">
        <v>666.66</v>
      </c>
      <c r="J36" s="24">
        <v>666.66</v>
      </c>
      <c r="K36" s="24">
        <v>666.66</v>
      </c>
      <c r="L36" s="24">
        <v>666.66</v>
      </c>
      <c r="M36" s="24">
        <v>666.66</v>
      </c>
      <c r="N36" s="34">
        <f t="shared" si="3"/>
        <v>7999.9199999999992</v>
      </c>
    </row>
    <row r="37" spans="1:14" ht="13.15" customHeight="1">
      <c r="A37" s="4" t="s">
        <v>26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34">
        <f t="shared" si="3"/>
        <v>0</v>
      </c>
    </row>
    <row r="38" spans="1:14" ht="13.15" customHeight="1">
      <c r="A38" s="4" t="s">
        <v>31</v>
      </c>
      <c r="B38" s="5">
        <f>+TVA!B24</f>
        <v>718.54200000000003</v>
      </c>
      <c r="C38" s="5">
        <f>+TVA!C24</f>
        <v>744.14200000000005</v>
      </c>
      <c r="D38" s="5">
        <f>+TVA!D24</f>
        <v>1222.1860000000001</v>
      </c>
      <c r="E38" s="5">
        <f>+TVA!E24</f>
        <v>1311.3300000000002</v>
      </c>
      <c r="F38" s="5">
        <f>+TVA!F24</f>
        <v>1275.288</v>
      </c>
      <c r="G38" s="5">
        <f>+TVA!G24</f>
        <v>1241.3129200000001</v>
      </c>
      <c r="H38" s="5">
        <f>+TVA!H24</f>
        <v>1082.5800828000001</v>
      </c>
      <c r="I38" s="5">
        <f>+TVA!I24</f>
        <v>1025.3</v>
      </c>
      <c r="J38" s="5">
        <f>+TVA!J24</f>
        <v>1096.644</v>
      </c>
      <c r="K38" s="5">
        <f>+TVA!K24</f>
        <v>1176.528</v>
      </c>
      <c r="L38" s="5">
        <f>+TVA!L24</f>
        <v>967.69599999999991</v>
      </c>
      <c r="M38" s="5">
        <f>+TVA!M24</f>
        <v>1105.364</v>
      </c>
      <c r="N38" s="34">
        <f t="shared" si="3"/>
        <v>12966.913002800002</v>
      </c>
    </row>
    <row r="39" spans="1:14" ht="13.15" customHeight="1">
      <c r="A39" s="2"/>
      <c r="B39" s="24"/>
      <c r="C39" s="24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34">
        <f t="shared" si="3"/>
        <v>0</v>
      </c>
    </row>
    <row r="40" spans="1:14" ht="13.15" customHeight="1">
      <c r="A40" s="38" t="s">
        <v>27</v>
      </c>
      <c r="B40" s="39">
        <f t="shared" ref="B40:M40" si="6">SUM(B14:B38)-B27</f>
        <v>7319.2586666666666</v>
      </c>
      <c r="C40" s="39">
        <f t="shared" si="6"/>
        <v>16201.845333333331</v>
      </c>
      <c r="D40" s="39">
        <f t="shared" si="6"/>
        <v>7616.5693333333329</v>
      </c>
      <c r="E40" s="39">
        <f t="shared" si="6"/>
        <v>8014.376666666667</v>
      </c>
      <c r="F40" s="39">
        <f>SUM(F14:F38)-F27</f>
        <v>19437.50133333333</v>
      </c>
      <c r="G40" s="39">
        <f t="shared" si="6"/>
        <v>7848.5262533333334</v>
      </c>
      <c r="H40" s="39">
        <f t="shared" si="6"/>
        <v>9067.286749466668</v>
      </c>
      <c r="I40" s="39">
        <f>SUM(I14:I38)-I27</f>
        <v>19520.513333333329</v>
      </c>
      <c r="J40" s="39">
        <f t="shared" si="6"/>
        <v>9233.257333333333</v>
      </c>
      <c r="K40" s="39">
        <f t="shared" si="6"/>
        <v>9315.474666666667</v>
      </c>
      <c r="L40" s="39">
        <f>SUM(L14:L38)-L27</f>
        <v>19943.909333333329</v>
      </c>
      <c r="M40" s="39">
        <f t="shared" si="6"/>
        <v>8070.2173333333321</v>
      </c>
      <c r="N40" s="40">
        <f t="shared" si="3"/>
        <v>141588.73633613333</v>
      </c>
    </row>
    <row r="41" spans="1:14" ht="13.15" customHeight="1">
      <c r="A41" s="2"/>
      <c r="B41" s="24"/>
      <c r="C41" s="24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34">
        <f t="shared" si="3"/>
        <v>0</v>
      </c>
    </row>
    <row r="42" spans="1:14" ht="13.15" customHeight="1">
      <c r="A42" s="4" t="s">
        <v>28</v>
      </c>
      <c r="B42" s="24">
        <f t="shared" ref="B42:M42" si="7">B12-B40</f>
        <v>-329.59866666666676</v>
      </c>
      <c r="C42" s="24">
        <f t="shared" si="7"/>
        <v>-8444.1853333333311</v>
      </c>
      <c r="D42" s="15">
        <f t="shared" si="7"/>
        <v>-1133.9093333333331</v>
      </c>
      <c r="E42" s="15">
        <f t="shared" si="7"/>
        <v>-1059.376666666667</v>
      </c>
      <c r="F42" s="15">
        <f t="shared" si="7"/>
        <v>-11705.26133333333</v>
      </c>
      <c r="G42" s="15">
        <f t="shared" si="7"/>
        <v>376.53834666666626</v>
      </c>
      <c r="H42" s="15">
        <f t="shared" si="7"/>
        <v>-179.34633546666737</v>
      </c>
      <c r="I42" s="15">
        <f t="shared" si="7"/>
        <v>-12707.513333333329</v>
      </c>
      <c r="J42" s="15">
        <f t="shared" si="7"/>
        <v>-2462.5373333333328</v>
      </c>
      <c r="K42" s="15">
        <f t="shared" si="7"/>
        <v>254.66533333333246</v>
      </c>
      <c r="L42" s="15">
        <f t="shared" si="7"/>
        <v>-13420.92933333333</v>
      </c>
      <c r="M42" s="15">
        <f t="shared" si="7"/>
        <v>-3650.3973333333324</v>
      </c>
      <c r="N42" s="34">
        <f t="shared" si="3"/>
        <v>-54461.85132213332</v>
      </c>
    </row>
    <row r="43" spans="1:14" ht="13.15" customHeight="1">
      <c r="A43" s="4" t="s">
        <v>29</v>
      </c>
      <c r="B43" s="24">
        <f>B42</f>
        <v>-329.59866666666676</v>
      </c>
      <c r="C43" s="24">
        <f t="shared" ref="C43:L43" si="8">C42+B43</f>
        <v>-8773.7839999999978</v>
      </c>
      <c r="D43" s="15">
        <f t="shared" si="8"/>
        <v>-9907.6933333333309</v>
      </c>
      <c r="E43" s="15">
        <f t="shared" si="8"/>
        <v>-10967.069999999998</v>
      </c>
      <c r="F43" s="15">
        <f t="shared" si="8"/>
        <v>-22672.331333333328</v>
      </c>
      <c r="G43" s="15">
        <f t="shared" si="8"/>
        <v>-22295.79298666666</v>
      </c>
      <c r="H43" s="15">
        <f t="shared" si="8"/>
        <v>-22475.139322133327</v>
      </c>
      <c r="I43" s="15">
        <f t="shared" si="8"/>
        <v>-35182.652655466656</v>
      </c>
      <c r="J43" s="15">
        <f t="shared" si="8"/>
        <v>-37645.18998879999</v>
      </c>
      <c r="K43" s="15">
        <f t="shared" si="8"/>
        <v>-37390.524655466659</v>
      </c>
      <c r="L43" s="15">
        <f t="shared" si="8"/>
        <v>-50811.453988799985</v>
      </c>
      <c r="M43" s="15">
        <f>M42+L43</f>
        <v>-54461.85132213332</v>
      </c>
      <c r="N43" s="34"/>
    </row>
    <row r="44" spans="1:14" ht="13.15" customHeight="1">
      <c r="A44" s="2"/>
      <c r="B44" s="24"/>
      <c r="C44" s="24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33"/>
    </row>
    <row r="45" spans="1:14" ht="13.15" customHeight="1">
      <c r="A45" s="2"/>
      <c r="B45" s="24"/>
      <c r="C45" s="24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33"/>
    </row>
    <row r="46" spans="1:14" ht="13.15" customHeight="1">
      <c r="A46" s="2"/>
      <c r="B46" s="24"/>
      <c r="C46" s="24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33"/>
    </row>
    <row r="47" spans="1:14" ht="13.15" customHeight="1">
      <c r="A47" s="2"/>
      <c r="B47" s="24"/>
      <c r="C47" s="24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33"/>
    </row>
    <row r="48" spans="1:14" ht="13.15" customHeight="1">
      <c r="A48" s="2"/>
      <c r="B48" s="24"/>
      <c r="C48" s="24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33"/>
    </row>
    <row r="49" spans="1:14" ht="13.15" customHeight="1">
      <c r="A49" s="2"/>
      <c r="B49" s="24"/>
      <c r="C49" s="24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33"/>
    </row>
    <row r="50" spans="1:14" ht="13.15" customHeight="1">
      <c r="A50" s="2"/>
      <c r="B50" s="24"/>
      <c r="C50" s="24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33"/>
    </row>
    <row r="51" spans="1:14" ht="13.15" customHeight="1">
      <c r="A51" s="2"/>
      <c r="B51" s="24"/>
      <c r="C51" s="24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33"/>
    </row>
    <row r="52" spans="1:14" ht="13.15" customHeight="1">
      <c r="A52" s="2"/>
      <c r="B52" s="24"/>
      <c r="C52" s="24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33"/>
    </row>
    <row r="53" spans="1:14" ht="13.15" customHeight="1">
      <c r="A53" s="2"/>
      <c r="B53" s="24"/>
      <c r="C53" s="24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33"/>
    </row>
  </sheetData>
  <pageMargins left="0.7" right="0.7" top="0.75" bottom="0.75" header="0.3" footer="0.3"/>
  <ignoredErrors>
    <ignoredError sqref="D12 N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C6" sqref="C6"/>
    </sheetView>
  </sheetViews>
  <sheetFormatPr baseColWidth="10" defaultRowHeight="12.75"/>
  <cols>
    <col min="1" max="1" width="12.42578125" customWidth="1"/>
    <col min="2" max="2" width="11.85546875" bestFit="1" customWidth="1"/>
  </cols>
  <sheetData>
    <row r="2" spans="1:2">
      <c r="A2" s="50" t="s">
        <v>68</v>
      </c>
      <c r="B2" s="51">
        <v>0</v>
      </c>
    </row>
    <row r="3" spans="1:2">
      <c r="A3" s="50" t="s">
        <v>69</v>
      </c>
      <c r="B3" s="51">
        <v>10000</v>
      </c>
    </row>
    <row r="4" spans="1:2">
      <c r="A4" s="50" t="s">
        <v>70</v>
      </c>
      <c r="B4" s="51">
        <v>0</v>
      </c>
    </row>
    <row r="5" spans="1:2">
      <c r="A5" s="50" t="s">
        <v>71</v>
      </c>
      <c r="B5" s="51">
        <v>0</v>
      </c>
    </row>
    <row r="6" spans="1:2">
      <c r="A6" s="50" t="s">
        <v>72</v>
      </c>
      <c r="B6" s="51">
        <v>15000</v>
      </c>
    </row>
    <row r="7" spans="1:2">
      <c r="A7" s="50" t="s">
        <v>73</v>
      </c>
      <c r="B7" s="51">
        <v>0</v>
      </c>
    </row>
    <row r="8" spans="1:2">
      <c r="A8" s="50" t="s">
        <v>74</v>
      </c>
      <c r="B8" s="51">
        <v>0</v>
      </c>
    </row>
    <row r="9" spans="1:2">
      <c r="A9" s="50" t="s">
        <v>75</v>
      </c>
      <c r="B9" s="51">
        <v>8000</v>
      </c>
    </row>
    <row r="10" spans="1:2">
      <c r="A10" s="50" t="s">
        <v>76</v>
      </c>
      <c r="B10" s="51">
        <v>1200</v>
      </c>
    </row>
    <row r="11" spans="1:2">
      <c r="A11" s="50" t="s">
        <v>77</v>
      </c>
      <c r="B11" s="51">
        <v>0</v>
      </c>
    </row>
    <row r="12" spans="1:2">
      <c r="A12" s="50" t="s">
        <v>78</v>
      </c>
      <c r="B12" s="51">
        <v>12000</v>
      </c>
    </row>
    <row r="13" spans="1:2">
      <c r="A13" s="50" t="s">
        <v>79</v>
      </c>
      <c r="B13" s="51">
        <v>3000</v>
      </c>
    </row>
    <row r="14" spans="1:2">
      <c r="A14" s="50" t="s">
        <v>19</v>
      </c>
      <c r="B14" s="51">
        <f>+SUM(B2:B13)</f>
        <v>49200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3"/>
  <sheetViews>
    <sheetView zoomScale="70" zoomScaleNormal="70" workbookViewId="0">
      <selection activeCell="B13" sqref="B13"/>
    </sheetView>
  </sheetViews>
  <sheetFormatPr baseColWidth="10" defaultRowHeight="12.75"/>
  <cols>
    <col min="1" max="1" width="28.28515625" style="60" customWidth="1"/>
    <col min="2" max="2" width="12.85546875" style="60" customWidth="1"/>
    <col min="3" max="3" width="14.42578125" style="60" customWidth="1"/>
    <col min="4" max="4" width="11.5703125" style="60" customWidth="1"/>
    <col min="5" max="5" width="16.28515625" style="60" customWidth="1"/>
    <col min="6" max="6" width="12.85546875" style="60" customWidth="1"/>
    <col min="7" max="7" width="11.5703125" style="60" customWidth="1"/>
    <col min="8" max="8" width="15.140625" style="60" customWidth="1"/>
    <col min="9" max="9" width="19.140625" style="60" customWidth="1"/>
    <col min="10" max="10" width="16.85546875" style="60" customWidth="1"/>
    <col min="11" max="11" width="13.140625" style="60" customWidth="1"/>
    <col min="12" max="13" width="12.5703125" style="60" customWidth="1"/>
    <col min="14" max="14" width="12.85546875" style="60" bestFit="1" customWidth="1"/>
    <col min="15" max="16384" width="11.42578125" style="60"/>
  </cols>
  <sheetData>
    <row r="1" spans="1:14">
      <c r="A1" s="58" t="s">
        <v>82</v>
      </c>
      <c r="B1" s="68" t="s">
        <v>8</v>
      </c>
      <c r="C1" s="68" t="s">
        <v>9</v>
      </c>
      <c r="D1" s="68" t="s">
        <v>10</v>
      </c>
      <c r="E1" s="68" t="s">
        <v>11</v>
      </c>
      <c r="F1" s="68" t="s">
        <v>0</v>
      </c>
      <c r="G1" s="68" t="s">
        <v>1</v>
      </c>
      <c r="H1" s="68" t="s">
        <v>2</v>
      </c>
      <c r="I1" s="68" t="s">
        <v>3</v>
      </c>
      <c r="J1" s="68" t="s">
        <v>4</v>
      </c>
      <c r="K1" s="68" t="s">
        <v>5</v>
      </c>
      <c r="L1" s="68" t="s">
        <v>6</v>
      </c>
      <c r="M1" s="68" t="s">
        <v>7</v>
      </c>
      <c r="N1" s="59" t="s">
        <v>83</v>
      </c>
    </row>
    <row r="2" spans="1:14">
      <c r="A2" s="71" t="s">
        <v>84</v>
      </c>
      <c r="B2" s="72">
        <v>1415.59</v>
      </c>
      <c r="C2" s="72">
        <v>1415.59</v>
      </c>
      <c r="D2" s="72">
        <v>1415.59</v>
      </c>
      <c r="E2" s="72">
        <v>1415.59</v>
      </c>
      <c r="F2" s="72">
        <v>1415.59</v>
      </c>
      <c r="G2" s="72">
        <v>1415.59</v>
      </c>
      <c r="H2" s="72">
        <v>1415.59</v>
      </c>
      <c r="I2" s="72">
        <v>1415.59</v>
      </c>
      <c r="J2" s="72">
        <v>1415.59</v>
      </c>
      <c r="K2" s="72">
        <v>1415.59</v>
      </c>
      <c r="L2" s="72">
        <v>1415.59</v>
      </c>
      <c r="M2" s="72">
        <v>1415.59</v>
      </c>
      <c r="N2" s="61">
        <f t="shared" ref="N2:N7" si="0">+SUM(B2:M2)</f>
        <v>16987.079999999998</v>
      </c>
    </row>
    <row r="3" spans="1:14">
      <c r="A3" s="71" t="s">
        <v>85</v>
      </c>
      <c r="B3" s="72"/>
      <c r="C3" s="72">
        <v>9318.32</v>
      </c>
      <c r="D3" s="72"/>
      <c r="E3" s="72"/>
      <c r="F3" s="72">
        <v>11338</v>
      </c>
      <c r="G3" s="72"/>
      <c r="H3" s="72"/>
      <c r="I3" s="72">
        <v>11338</v>
      </c>
      <c r="J3" s="72"/>
      <c r="K3" s="72"/>
      <c r="L3" s="72">
        <v>11338</v>
      </c>
      <c r="M3" s="72"/>
      <c r="N3" s="61">
        <f t="shared" si="0"/>
        <v>43332.32</v>
      </c>
    </row>
    <row r="4" spans="1:14">
      <c r="A4" s="71" t="s">
        <v>86</v>
      </c>
      <c r="B4" s="72">
        <f>19.99/1.2</f>
        <v>16.658333333333331</v>
      </c>
      <c r="C4" s="72">
        <f t="shared" ref="C4:M4" si="1">19.99/1.2</f>
        <v>16.658333333333331</v>
      </c>
      <c r="D4" s="72">
        <f t="shared" si="1"/>
        <v>16.658333333333331</v>
      </c>
      <c r="E4" s="72">
        <f t="shared" si="1"/>
        <v>16.658333333333331</v>
      </c>
      <c r="F4" s="72">
        <f t="shared" si="1"/>
        <v>16.658333333333331</v>
      </c>
      <c r="G4" s="72">
        <f t="shared" si="1"/>
        <v>16.658333333333331</v>
      </c>
      <c r="H4" s="72">
        <f t="shared" si="1"/>
        <v>16.658333333333331</v>
      </c>
      <c r="I4" s="72">
        <f t="shared" si="1"/>
        <v>16.658333333333331</v>
      </c>
      <c r="J4" s="72">
        <f t="shared" si="1"/>
        <v>16.658333333333331</v>
      </c>
      <c r="K4" s="72">
        <f t="shared" si="1"/>
        <v>16.658333333333331</v>
      </c>
      <c r="L4" s="72">
        <f t="shared" si="1"/>
        <v>16.658333333333331</v>
      </c>
      <c r="M4" s="72">
        <f t="shared" si="1"/>
        <v>16.658333333333331</v>
      </c>
      <c r="N4" s="61">
        <f t="shared" si="0"/>
        <v>199.89999999999998</v>
      </c>
    </row>
    <row r="5" spans="1:14">
      <c r="A5" s="71" t="s">
        <v>87</v>
      </c>
      <c r="B5" s="72">
        <f>40.95/1.2</f>
        <v>34.125000000000007</v>
      </c>
      <c r="C5" s="72">
        <f t="shared" ref="C5:M5" si="2">40.95/1.2</f>
        <v>34.125000000000007</v>
      </c>
      <c r="D5" s="72">
        <f>57.29/1.2</f>
        <v>47.741666666666667</v>
      </c>
      <c r="E5" s="72">
        <f t="shared" si="2"/>
        <v>34.125000000000007</v>
      </c>
      <c r="F5" s="72">
        <f t="shared" si="2"/>
        <v>34.125000000000007</v>
      </c>
      <c r="G5" s="72">
        <f>72.16/1.2</f>
        <v>60.133333333333333</v>
      </c>
      <c r="H5" s="72">
        <f>72.16/1.2</f>
        <v>60.133333333333333</v>
      </c>
      <c r="I5" s="72">
        <f t="shared" si="2"/>
        <v>34.125000000000007</v>
      </c>
      <c r="J5" s="72">
        <f t="shared" si="2"/>
        <v>34.125000000000007</v>
      </c>
      <c r="K5" s="72">
        <f t="shared" si="2"/>
        <v>34.125000000000007</v>
      </c>
      <c r="L5" s="72">
        <f>56.75/1.2</f>
        <v>47.291666666666671</v>
      </c>
      <c r="M5" s="72">
        <f t="shared" si="2"/>
        <v>34.125000000000007</v>
      </c>
      <c r="N5" s="61">
        <f t="shared" si="0"/>
        <v>488.3</v>
      </c>
    </row>
    <row r="6" spans="1:14">
      <c r="A6" s="71" t="s">
        <v>88</v>
      </c>
      <c r="B6" s="72">
        <v>0</v>
      </c>
      <c r="C6" s="72">
        <f>148/1.2</f>
        <v>123.33333333333334</v>
      </c>
      <c r="D6" s="72">
        <v>216.62</v>
      </c>
      <c r="E6" s="72">
        <f>255/1.2</f>
        <v>212.5</v>
      </c>
      <c r="F6" s="72">
        <v>216.62</v>
      </c>
      <c r="G6" s="72">
        <f>284/1.2</f>
        <v>236.66666666666669</v>
      </c>
      <c r="H6" s="72">
        <v>216.62</v>
      </c>
      <c r="I6" s="72">
        <f>750/1.2</f>
        <v>625</v>
      </c>
      <c r="J6" s="72"/>
      <c r="K6" s="72">
        <f>331/1.2</f>
        <v>275.83333333333337</v>
      </c>
      <c r="L6" s="72"/>
      <c r="M6" s="72">
        <f>297/1.2</f>
        <v>247.5</v>
      </c>
      <c r="N6" s="61">
        <f t="shared" si="0"/>
        <v>2370.6933333333336</v>
      </c>
    </row>
    <row r="7" spans="1:14">
      <c r="A7" s="71" t="s">
        <v>89</v>
      </c>
      <c r="B7" s="72">
        <f>336/1.2</f>
        <v>280</v>
      </c>
      <c r="C7" s="72">
        <f t="shared" ref="C7:H7" si="3">336/1.2</f>
        <v>280</v>
      </c>
      <c r="D7" s="72">
        <f t="shared" si="3"/>
        <v>280</v>
      </c>
      <c r="E7" s="72">
        <f t="shared" si="3"/>
        <v>280</v>
      </c>
      <c r="F7" s="72">
        <f t="shared" si="3"/>
        <v>280</v>
      </c>
      <c r="G7" s="72">
        <f t="shared" si="3"/>
        <v>280</v>
      </c>
      <c r="H7" s="72">
        <f t="shared" si="3"/>
        <v>280</v>
      </c>
      <c r="I7" s="72">
        <f>(336+660)/1.2</f>
        <v>830</v>
      </c>
      <c r="J7" s="72">
        <f>492/1.2</f>
        <v>410</v>
      </c>
      <c r="K7" s="72">
        <f t="shared" ref="K7:M7" si="4">492/1.2</f>
        <v>410</v>
      </c>
      <c r="L7" s="72">
        <f t="shared" si="4"/>
        <v>410</v>
      </c>
      <c r="M7" s="72">
        <f t="shared" si="4"/>
        <v>410</v>
      </c>
      <c r="N7" s="61">
        <f t="shared" si="0"/>
        <v>4430</v>
      </c>
    </row>
    <row r="8" spans="1:14">
      <c r="A8" s="71" t="s">
        <v>90</v>
      </c>
      <c r="B8" s="72"/>
      <c r="C8" s="72"/>
      <c r="D8" s="72"/>
      <c r="E8" s="72">
        <f>5000/1.2</f>
        <v>4166.666666666667</v>
      </c>
      <c r="F8" s="72"/>
      <c r="G8" s="72"/>
      <c r="H8" s="72"/>
      <c r="I8" s="72"/>
      <c r="J8" s="72"/>
      <c r="K8" s="72"/>
      <c r="L8" s="72"/>
      <c r="M8" s="72">
        <f>+' Budget de Trésorerie.'!M15</f>
        <v>275.14</v>
      </c>
      <c r="N8" s="61">
        <f>+SUM(D8:M8)</f>
        <v>4441.8066666666673</v>
      </c>
    </row>
    <row r="9" spans="1:14">
      <c r="A9" s="73" t="s">
        <v>119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>
        <f>+' Budget de Trésorerie.'!M15</f>
        <v>275.14</v>
      </c>
      <c r="N9" s="61">
        <f t="shared" ref="N9:N12" si="5">+SUM(D9:M9)</f>
        <v>275.14</v>
      </c>
    </row>
    <row r="10" spans="1:14">
      <c r="A10" s="71" t="s">
        <v>91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61">
        <f t="shared" si="5"/>
        <v>0</v>
      </c>
    </row>
    <row r="11" spans="1:14">
      <c r="A11" s="73" t="s">
        <v>102</v>
      </c>
      <c r="B11" s="72">
        <f>1044/1.2</f>
        <v>870</v>
      </c>
      <c r="C11" s="72">
        <f>294/1.2</f>
        <v>245</v>
      </c>
      <c r="D11" s="72"/>
      <c r="E11" s="72">
        <f>(2184+1130)/1.2</f>
        <v>2761.666666666667</v>
      </c>
      <c r="F11" s="72">
        <f>218/1.2</f>
        <v>181.66666666666669</v>
      </c>
      <c r="G11" s="72">
        <f>218/1.2</f>
        <v>181.66666666666669</v>
      </c>
      <c r="H11" s="72">
        <f>(218+781+792)/1.2</f>
        <v>1492.5</v>
      </c>
      <c r="I11" s="72">
        <f>(218+1167)/1.2</f>
        <v>1154.1666666666667</v>
      </c>
      <c r="J11" s="72">
        <f>(1034+218)/1.2</f>
        <v>1043.3333333333335</v>
      </c>
      <c r="K11" s="72">
        <f>(218+1389)/1.2</f>
        <v>1339.1666666666667</v>
      </c>
      <c r="L11" s="72">
        <f>(218+2070)/1.2</f>
        <v>1906.6666666666667</v>
      </c>
      <c r="M11" s="72">
        <f>(165+218)/1.2</f>
        <v>319.16666666666669</v>
      </c>
      <c r="N11" s="61">
        <f t="shared" si="5"/>
        <v>10380</v>
      </c>
    </row>
    <row r="12" spans="1:14">
      <c r="A12" s="71" t="s">
        <v>92</v>
      </c>
      <c r="B12" s="72"/>
      <c r="C12" s="72"/>
      <c r="D12" s="72">
        <f>1404/1.2</f>
        <v>1170</v>
      </c>
      <c r="E12" s="72">
        <v>2990</v>
      </c>
      <c r="F12" s="72"/>
      <c r="G12" s="72">
        <f>680/1.2</f>
        <v>566.66666666666674</v>
      </c>
      <c r="H12" s="72">
        <f>690/1.2</f>
        <v>575</v>
      </c>
      <c r="I12" s="72">
        <f>690/1.2</f>
        <v>575</v>
      </c>
      <c r="J12" s="72"/>
      <c r="K12" s="72">
        <f>690/1.2</f>
        <v>575</v>
      </c>
      <c r="L12" s="72">
        <f t="shared" ref="L12" si="6">690/1.2</f>
        <v>575</v>
      </c>
      <c r="M12" s="72">
        <f>689/1.2</f>
        <v>574.16666666666674</v>
      </c>
      <c r="N12" s="61">
        <f t="shared" si="5"/>
        <v>7600.8333333333339</v>
      </c>
    </row>
    <row r="13" spans="1:14">
      <c r="A13" s="73" t="s">
        <v>120</v>
      </c>
      <c r="B13" s="72"/>
      <c r="C13" s="72">
        <f>285.6/1.2</f>
        <v>238.00000000000003</v>
      </c>
      <c r="D13" s="72">
        <f t="shared" ref="D13:L13" si="7">285.6/1.2</f>
        <v>238.00000000000003</v>
      </c>
      <c r="E13" s="72">
        <f t="shared" si="7"/>
        <v>238.00000000000003</v>
      </c>
      <c r="F13" s="72">
        <f t="shared" si="7"/>
        <v>238.00000000000003</v>
      </c>
      <c r="G13" s="72">
        <f t="shared" si="7"/>
        <v>238.00000000000003</v>
      </c>
      <c r="H13" s="72">
        <f>285.6/1.2</f>
        <v>238.00000000000003</v>
      </c>
      <c r="I13" s="72">
        <f t="shared" si="7"/>
        <v>238.00000000000003</v>
      </c>
      <c r="J13" s="72">
        <f t="shared" si="7"/>
        <v>238.00000000000003</v>
      </c>
      <c r="K13" s="72">
        <f t="shared" si="7"/>
        <v>238.00000000000003</v>
      </c>
      <c r="L13" s="72">
        <f t="shared" si="7"/>
        <v>238.00000000000003</v>
      </c>
      <c r="M13" s="72">
        <v>285.60000000000002</v>
      </c>
      <c r="N13" s="61">
        <f>+SUM(B13:M13)</f>
        <v>2665.6000000000004</v>
      </c>
    </row>
    <row r="14" spans="1:14">
      <c r="A14" s="73" t="s">
        <v>116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>
        <f>1897/1.2</f>
        <v>1580.8333333333335</v>
      </c>
      <c r="M14" s="72"/>
      <c r="N14" s="61"/>
    </row>
    <row r="15" spans="1:14">
      <c r="A15" s="73" t="s">
        <v>103</v>
      </c>
      <c r="B15" s="72"/>
      <c r="C15" s="72">
        <f>320/1.2</f>
        <v>266.66666666666669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61">
        <f t="shared" ref="N15:N18" si="8">+SUM(B15:M15)</f>
        <v>266.66666666666669</v>
      </c>
    </row>
    <row r="16" spans="1:14">
      <c r="A16" s="73" t="s">
        <v>115</v>
      </c>
      <c r="B16" s="72"/>
      <c r="C16" s="72"/>
      <c r="D16" s="72"/>
      <c r="E16" s="72"/>
      <c r="F16" s="72"/>
      <c r="G16" s="72"/>
      <c r="H16" s="72"/>
      <c r="I16" s="72"/>
      <c r="J16" s="72"/>
      <c r="K16" s="72">
        <f>549/1.2</f>
        <v>457.5</v>
      </c>
      <c r="L16" s="72"/>
      <c r="M16" s="72"/>
      <c r="N16" s="61">
        <f t="shared" si="8"/>
        <v>457.5</v>
      </c>
    </row>
    <row r="17" spans="1:14">
      <c r="A17" s="73" t="s">
        <v>113</v>
      </c>
      <c r="B17" s="72"/>
      <c r="C17" s="72"/>
      <c r="D17" s="72"/>
      <c r="E17" s="72"/>
      <c r="F17" s="72"/>
      <c r="G17" s="72"/>
      <c r="H17" s="72"/>
      <c r="I17" s="72">
        <f>531/1.2</f>
        <v>442.5</v>
      </c>
      <c r="J17" s="72"/>
      <c r="K17" s="72"/>
      <c r="L17" s="72"/>
      <c r="M17" s="72">
        <f>531/1.2</f>
        <v>442.5</v>
      </c>
      <c r="N17" s="61">
        <f t="shared" si="8"/>
        <v>885</v>
      </c>
    </row>
    <row r="18" spans="1:14">
      <c r="A18" s="73" t="s">
        <v>104</v>
      </c>
      <c r="B18" s="72"/>
      <c r="C18" s="72">
        <f>600/1.2</f>
        <v>500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61">
        <f t="shared" si="8"/>
        <v>500</v>
      </c>
    </row>
    <row r="19" spans="1:14">
      <c r="A19" s="73" t="s">
        <v>105</v>
      </c>
      <c r="B19" s="72"/>
      <c r="C19" s="72">
        <f>99/1.2</f>
        <v>82.5</v>
      </c>
      <c r="D19" s="72">
        <f>148/1.2</f>
        <v>123.33333333333334</v>
      </c>
      <c r="E19" s="72">
        <f>198/1.2</f>
        <v>165</v>
      </c>
      <c r="F19" s="72">
        <f>198/1.2</f>
        <v>165</v>
      </c>
      <c r="G19" s="72">
        <f t="shared" ref="G19:I19" si="9">198/1.2</f>
        <v>165</v>
      </c>
      <c r="H19" s="72">
        <f t="shared" si="9"/>
        <v>165</v>
      </c>
      <c r="I19" s="72">
        <f t="shared" si="9"/>
        <v>165</v>
      </c>
      <c r="J19" s="72">
        <f>297/1.2</f>
        <v>247.5</v>
      </c>
      <c r="K19" s="72">
        <f t="shared" ref="K19:M19" si="10">297/1.2</f>
        <v>247.5</v>
      </c>
      <c r="L19" s="72">
        <f t="shared" si="10"/>
        <v>247.5</v>
      </c>
      <c r="M19" s="72">
        <f t="shared" si="10"/>
        <v>247.5</v>
      </c>
      <c r="N19" s="61">
        <f>+SUM(B19:M19)</f>
        <v>2020.8333333333335</v>
      </c>
    </row>
    <row r="20" spans="1:14">
      <c r="A20" s="73" t="s">
        <v>117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>
        <f>938.23/1.2</f>
        <v>781.85833333333335</v>
      </c>
      <c r="N20" s="61">
        <f t="shared" ref="N20:N21" si="11">+SUM(B20:M20)</f>
        <v>781.85833333333335</v>
      </c>
    </row>
    <row r="21" spans="1:14">
      <c r="A21" s="73" t="s">
        <v>118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>
        <f>372/1.2</f>
        <v>310</v>
      </c>
      <c r="N21" s="61">
        <f t="shared" si="11"/>
        <v>310</v>
      </c>
    </row>
    <row r="22" spans="1:14">
      <c r="A22" s="73" t="s">
        <v>114</v>
      </c>
      <c r="B22" s="72"/>
      <c r="C22" s="72"/>
      <c r="D22" s="72"/>
      <c r="E22" s="72"/>
      <c r="F22" s="72"/>
      <c r="G22" s="72"/>
      <c r="H22" s="72"/>
      <c r="I22" s="72"/>
      <c r="J22" s="72">
        <f>190/1.2</f>
        <v>158.33333333333334</v>
      </c>
      <c r="K22" s="72">
        <f t="shared" ref="K22:M22" si="12">190/1.2</f>
        <v>158.33333333333334</v>
      </c>
      <c r="L22" s="72">
        <f t="shared" si="12"/>
        <v>158.33333333333334</v>
      </c>
      <c r="M22" s="72">
        <f t="shared" si="12"/>
        <v>158.33333333333334</v>
      </c>
      <c r="N22" s="61">
        <f>+SUM(B22:M22)</f>
        <v>633.33333333333337</v>
      </c>
    </row>
    <row r="23" spans="1:14">
      <c r="A23" s="73" t="s">
        <v>107</v>
      </c>
      <c r="B23" s="72"/>
      <c r="C23" s="72"/>
      <c r="D23" s="72">
        <f>100/1.2</f>
        <v>83.333333333333343</v>
      </c>
      <c r="E23" s="72"/>
      <c r="F23" s="72">
        <f>161/1.2</f>
        <v>134.16666666666669</v>
      </c>
      <c r="G23" s="72">
        <f>161/1.2</f>
        <v>134.16666666666669</v>
      </c>
      <c r="H23" s="72">
        <f t="shared" ref="H23:M23" si="13">161/1.2</f>
        <v>134.16666666666669</v>
      </c>
      <c r="I23" s="72">
        <f t="shared" si="13"/>
        <v>134.16666666666669</v>
      </c>
      <c r="J23" s="72">
        <f t="shared" si="13"/>
        <v>134.16666666666669</v>
      </c>
      <c r="K23" s="72">
        <f t="shared" si="13"/>
        <v>134.16666666666669</v>
      </c>
      <c r="L23" s="72">
        <f t="shared" si="13"/>
        <v>134.16666666666669</v>
      </c>
      <c r="M23" s="72">
        <f t="shared" si="13"/>
        <v>134.16666666666669</v>
      </c>
      <c r="N23" s="61">
        <f t="shared" ref="N23:N29" si="14">+SUM(B23:M23)</f>
        <v>1156.666666666667</v>
      </c>
    </row>
    <row r="24" spans="1:14">
      <c r="A24" s="73" t="s">
        <v>112</v>
      </c>
      <c r="B24" s="72"/>
      <c r="C24" s="72"/>
      <c r="D24" s="72"/>
      <c r="E24" s="72"/>
      <c r="F24" s="72">
        <f>239.38/1.2</f>
        <v>199.48333333333335</v>
      </c>
      <c r="G24" s="72"/>
      <c r="H24" s="72"/>
      <c r="I24" s="72"/>
      <c r="J24" s="72"/>
      <c r="K24" s="72"/>
      <c r="L24" s="72">
        <f>227/1.2</f>
        <v>189.16666666666669</v>
      </c>
      <c r="M24" s="72"/>
      <c r="N24" s="61">
        <f t="shared" si="14"/>
        <v>388.65000000000003</v>
      </c>
    </row>
    <row r="25" spans="1:14">
      <c r="A25" s="73" t="s">
        <v>108</v>
      </c>
      <c r="B25" s="72"/>
      <c r="C25" s="72"/>
      <c r="D25" s="72"/>
      <c r="E25" s="72"/>
      <c r="F25" s="72">
        <f>201/1.2</f>
        <v>167.5</v>
      </c>
      <c r="G25" s="72"/>
      <c r="H25" s="72"/>
      <c r="I25" s="72"/>
      <c r="J25" s="72"/>
      <c r="K25" s="72"/>
      <c r="L25" s="72">
        <f>270/1.2</f>
        <v>225</v>
      </c>
      <c r="M25" s="72"/>
      <c r="N25" s="61">
        <f t="shared" si="14"/>
        <v>392.5</v>
      </c>
    </row>
    <row r="26" spans="1:14">
      <c r="A26" s="73" t="s">
        <v>109</v>
      </c>
      <c r="B26" s="72"/>
      <c r="C26" s="72"/>
      <c r="D26" s="72"/>
      <c r="E26" s="72"/>
      <c r="F26" s="72">
        <f>44/1.2</f>
        <v>36.666666666666671</v>
      </c>
      <c r="G26" s="72"/>
      <c r="H26" s="72"/>
      <c r="I26" s="72"/>
      <c r="J26" s="72"/>
      <c r="K26" s="72"/>
      <c r="L26" s="72"/>
      <c r="M26" s="72"/>
      <c r="N26" s="61">
        <f t="shared" si="14"/>
        <v>36.666666666666671</v>
      </c>
    </row>
    <row r="27" spans="1:14">
      <c r="A27" s="73" t="s">
        <v>110</v>
      </c>
      <c r="B27" s="72"/>
      <c r="C27" s="72"/>
      <c r="D27" s="72"/>
      <c r="E27" s="72">
        <f>699/1.2</f>
        <v>582.5</v>
      </c>
      <c r="F27" s="72"/>
      <c r="G27" s="72"/>
      <c r="H27" s="72"/>
      <c r="I27" s="72">
        <f>600/1.2</f>
        <v>500</v>
      </c>
      <c r="J27" s="72"/>
      <c r="K27" s="72"/>
      <c r="L27" s="72"/>
      <c r="M27" s="72"/>
      <c r="N27" s="61">
        <f t="shared" si="14"/>
        <v>1082.5</v>
      </c>
    </row>
    <row r="28" spans="1:14">
      <c r="A28" s="73" t="s">
        <v>111</v>
      </c>
      <c r="B28" s="72"/>
      <c r="C28" s="72"/>
      <c r="D28" s="72"/>
      <c r="E28" s="72">
        <f>1850/1.2</f>
        <v>1541.6666666666667</v>
      </c>
      <c r="F28" s="72"/>
      <c r="G28" s="72"/>
      <c r="H28" s="72"/>
      <c r="I28" s="72"/>
      <c r="J28" s="72"/>
      <c r="K28" s="72"/>
      <c r="L28" s="72"/>
      <c r="M28" s="72"/>
      <c r="N28" s="61">
        <f t="shared" si="14"/>
        <v>1541.6666666666667</v>
      </c>
    </row>
    <row r="29" spans="1:14">
      <c r="A29" s="73" t="s">
        <v>106</v>
      </c>
      <c r="B29" s="72"/>
      <c r="C29" s="72"/>
      <c r="D29" s="72">
        <f>840/1.2</f>
        <v>700</v>
      </c>
      <c r="E29" s="72"/>
      <c r="F29" s="72">
        <f>840/1.2</f>
        <v>700</v>
      </c>
      <c r="G29" s="72"/>
      <c r="H29" s="72"/>
      <c r="I29" s="72">
        <f>800/1.2</f>
        <v>666.66666666666674</v>
      </c>
      <c r="J29" s="72"/>
      <c r="K29" s="72"/>
      <c r="L29" s="72"/>
      <c r="M29" s="72"/>
      <c r="N29" s="61">
        <f t="shared" si="14"/>
        <v>2066.666666666667</v>
      </c>
    </row>
    <row r="30" spans="1:14">
      <c r="A30" s="71" t="s">
        <v>93</v>
      </c>
      <c r="B30" s="71"/>
      <c r="C30" s="72">
        <f>315/1.2</f>
        <v>262.5</v>
      </c>
      <c r="D30" s="72">
        <f>315/1.2</f>
        <v>262.5</v>
      </c>
      <c r="E30" s="72">
        <f t="shared" ref="E30:G30" si="15">315/1.2</f>
        <v>262.5</v>
      </c>
      <c r="F30" s="72">
        <f t="shared" si="15"/>
        <v>262.5</v>
      </c>
      <c r="G30" s="72">
        <f t="shared" si="15"/>
        <v>262.5</v>
      </c>
      <c r="H30" s="72"/>
      <c r="I30" s="72"/>
      <c r="J30" s="72"/>
      <c r="K30" s="72"/>
      <c r="L30" s="72"/>
      <c r="M30" s="72"/>
      <c r="N30" s="61">
        <f>+SUM(B30:M30)</f>
        <v>1312.5</v>
      </c>
    </row>
    <row r="31" spans="1:14">
      <c r="A31" s="71" t="s">
        <v>94</v>
      </c>
      <c r="B31" s="72">
        <f>360/1.2</f>
        <v>300</v>
      </c>
      <c r="C31" s="72">
        <f>(88.33+1500)/1.2</f>
        <v>1323.6083333333333</v>
      </c>
      <c r="D31" s="72"/>
      <c r="E31" s="72">
        <f>(150+200+1.8+15.99)/1.2</f>
        <v>306.49166666666667</v>
      </c>
      <c r="F31" s="72">
        <f>(92+6.99+15+23.27+25.44+80+45.18+49+82.31)/1.2</f>
        <v>349.32499999999999</v>
      </c>
      <c r="G31" s="72"/>
      <c r="H31" s="72">
        <f>(60+61+60)/1.2</f>
        <v>150.83333333333334</v>
      </c>
      <c r="I31" s="72">
        <f>(62+20+45+47+60+25+39+58+350+198)</f>
        <v>904</v>
      </c>
      <c r="J31" s="72">
        <f>(150+156+100+94+19+5+185+727)/1.2</f>
        <v>1196.6666666666667</v>
      </c>
      <c r="K31" s="72">
        <f>(549+108+78+12+20+252+104+81+11+64+124)/1.2</f>
        <v>1169.1666666666667</v>
      </c>
      <c r="L31" s="72">
        <f>(106+80+4.97+12+19+20+21.51+93+155+33.24+28+33+21+99)/1.2</f>
        <v>604.76666666666677</v>
      </c>
      <c r="M31" s="72">
        <f>(100+61+8+93+3)/1.2</f>
        <v>220.83333333333334</v>
      </c>
      <c r="N31" s="61">
        <f>+SUM(B31:M31)</f>
        <v>6525.6916666666666</v>
      </c>
    </row>
    <row r="32" spans="1:14">
      <c r="A32" s="71" t="s">
        <v>95</v>
      </c>
      <c r="B32" s="72">
        <f>20/1.2</f>
        <v>16.666666666666668</v>
      </c>
      <c r="C32" s="72">
        <f t="shared" ref="C32:M32" si="16">20/1.2</f>
        <v>16.666666666666668</v>
      </c>
      <c r="D32" s="72">
        <f t="shared" si="16"/>
        <v>16.666666666666668</v>
      </c>
      <c r="E32" s="72">
        <f t="shared" si="16"/>
        <v>16.666666666666668</v>
      </c>
      <c r="F32" s="72">
        <f t="shared" si="16"/>
        <v>16.666666666666668</v>
      </c>
      <c r="G32" s="72">
        <f t="shared" si="16"/>
        <v>16.666666666666668</v>
      </c>
      <c r="H32" s="72">
        <f t="shared" si="16"/>
        <v>16.666666666666668</v>
      </c>
      <c r="I32" s="72">
        <f t="shared" si="16"/>
        <v>16.666666666666668</v>
      </c>
      <c r="J32" s="72">
        <f t="shared" si="16"/>
        <v>16.666666666666668</v>
      </c>
      <c r="K32" s="72">
        <f t="shared" si="16"/>
        <v>16.666666666666668</v>
      </c>
      <c r="L32" s="72">
        <f t="shared" si="16"/>
        <v>16.666666666666668</v>
      </c>
      <c r="M32" s="72">
        <f t="shared" si="16"/>
        <v>16.666666666666668</v>
      </c>
      <c r="N32" s="61">
        <f t="shared" ref="N32:N37" si="17">+SUM(B32:M32)</f>
        <v>199.99999999999997</v>
      </c>
    </row>
    <row r="33" spans="1:15">
      <c r="A33" s="71" t="s">
        <v>96</v>
      </c>
      <c r="B33" s="72"/>
      <c r="C33" s="72"/>
      <c r="D33" s="72"/>
      <c r="E33" s="72">
        <v>412</v>
      </c>
      <c r="F33" s="72">
        <v>412</v>
      </c>
      <c r="G33" s="72">
        <v>412</v>
      </c>
      <c r="H33" s="72">
        <f>628/1.2</f>
        <v>523.33333333333337</v>
      </c>
      <c r="I33" s="72">
        <f>401/1.2</f>
        <v>334.16666666666669</v>
      </c>
      <c r="J33" s="72">
        <f>401/1.2</f>
        <v>334.16666666666669</v>
      </c>
      <c r="K33" s="72">
        <v>412</v>
      </c>
      <c r="L33" s="72">
        <v>412</v>
      </c>
      <c r="M33" s="72">
        <v>412</v>
      </c>
      <c r="N33" s="61">
        <f t="shared" si="17"/>
        <v>3663.6666666666665</v>
      </c>
    </row>
    <row r="34" spans="1:15">
      <c r="A34" s="71" t="s">
        <v>97</v>
      </c>
      <c r="B34" s="72">
        <f>725.84/1.2</f>
        <v>604.86666666666667</v>
      </c>
      <c r="C34" s="72">
        <f t="shared" ref="C34:G34" si="18">725.84/1.2</f>
        <v>604.86666666666667</v>
      </c>
      <c r="D34" s="72">
        <f t="shared" si="18"/>
        <v>604.86666666666667</v>
      </c>
      <c r="E34" s="72">
        <f t="shared" si="18"/>
        <v>604.86666666666667</v>
      </c>
      <c r="F34" s="72">
        <f t="shared" si="18"/>
        <v>604.86666666666667</v>
      </c>
      <c r="G34" s="72">
        <f t="shared" si="18"/>
        <v>604.86666666666667</v>
      </c>
      <c r="H34" s="72">
        <f>725.84/1.2</f>
        <v>604.86666666666667</v>
      </c>
      <c r="I34" s="72">
        <f t="shared" ref="I34:J34" si="19">725.84/1.2</f>
        <v>604.86666666666667</v>
      </c>
      <c r="J34" s="72">
        <f t="shared" si="19"/>
        <v>604.86666666666667</v>
      </c>
      <c r="K34" s="72">
        <v>725.84</v>
      </c>
      <c r="L34" s="72">
        <v>725.84</v>
      </c>
      <c r="M34" s="72">
        <v>725.84</v>
      </c>
      <c r="N34" s="61">
        <f t="shared" si="17"/>
        <v>7621.3200000000006</v>
      </c>
    </row>
    <row r="35" spans="1:15">
      <c r="A35" s="71" t="s">
        <v>98</v>
      </c>
      <c r="B35" s="72">
        <f>35.75/1.2</f>
        <v>29.791666666666668</v>
      </c>
      <c r="C35" s="72">
        <f t="shared" ref="C35:M35" si="20">35.75/1.2</f>
        <v>29.791666666666668</v>
      </c>
      <c r="D35" s="72">
        <f t="shared" si="20"/>
        <v>29.791666666666668</v>
      </c>
      <c r="E35" s="72">
        <f t="shared" si="20"/>
        <v>29.791666666666668</v>
      </c>
      <c r="F35" s="72">
        <f t="shared" si="20"/>
        <v>29.791666666666668</v>
      </c>
      <c r="G35" s="72">
        <f t="shared" si="20"/>
        <v>29.791666666666668</v>
      </c>
      <c r="H35" s="72">
        <f t="shared" si="20"/>
        <v>29.791666666666668</v>
      </c>
      <c r="I35" s="72">
        <f t="shared" si="20"/>
        <v>29.791666666666668</v>
      </c>
      <c r="J35" s="72">
        <f t="shared" si="20"/>
        <v>29.791666666666668</v>
      </c>
      <c r="K35" s="72">
        <f t="shared" si="20"/>
        <v>29.791666666666668</v>
      </c>
      <c r="L35" s="72">
        <f t="shared" si="20"/>
        <v>29.791666666666668</v>
      </c>
      <c r="M35" s="72">
        <f t="shared" si="20"/>
        <v>29.791666666666668</v>
      </c>
      <c r="N35" s="61">
        <f t="shared" si="17"/>
        <v>357.50000000000006</v>
      </c>
    </row>
    <row r="36" spans="1:15">
      <c r="A36" s="71" t="s">
        <v>99</v>
      </c>
      <c r="B36" s="72">
        <f>98.33/1.2</f>
        <v>81.941666666666663</v>
      </c>
      <c r="C36" s="72">
        <f t="shared" ref="C36:M36" si="21">98.33/1.2</f>
        <v>81.941666666666663</v>
      </c>
      <c r="D36" s="72">
        <f t="shared" si="21"/>
        <v>81.941666666666663</v>
      </c>
      <c r="E36" s="72">
        <f t="shared" si="21"/>
        <v>81.941666666666663</v>
      </c>
      <c r="F36" s="72">
        <f t="shared" si="21"/>
        <v>81.941666666666663</v>
      </c>
      <c r="G36" s="72">
        <f t="shared" si="21"/>
        <v>81.941666666666663</v>
      </c>
      <c r="H36" s="72">
        <f t="shared" si="21"/>
        <v>81.941666666666663</v>
      </c>
      <c r="I36" s="72">
        <f t="shared" si="21"/>
        <v>81.941666666666663</v>
      </c>
      <c r="J36" s="72">
        <f t="shared" si="21"/>
        <v>81.941666666666663</v>
      </c>
      <c r="K36" s="72">
        <f t="shared" si="21"/>
        <v>81.941666666666663</v>
      </c>
      <c r="L36" s="72">
        <f t="shared" si="21"/>
        <v>81.941666666666663</v>
      </c>
      <c r="M36" s="72">
        <f t="shared" si="21"/>
        <v>81.941666666666663</v>
      </c>
      <c r="N36" s="61">
        <f t="shared" si="17"/>
        <v>983.29999999999973</v>
      </c>
    </row>
    <row r="37" spans="1:15">
      <c r="A37" s="62" t="s">
        <v>19</v>
      </c>
      <c r="B37" s="63">
        <f>SUM(B2:B36)</f>
        <v>3649.6399999999994</v>
      </c>
      <c r="C37" s="63">
        <f>+SUM(C2:C36)</f>
        <v>14839.568333333333</v>
      </c>
      <c r="D37" s="63">
        <f>+SUM(D2:D36)</f>
        <v>5287.043333333334</v>
      </c>
      <c r="E37" s="63">
        <f>+SUM(E2:E36)</f>
        <v>16118.631666666666</v>
      </c>
      <c r="F37" s="63">
        <f>+SUM(F2:F36)</f>
        <v>16880.568333333333</v>
      </c>
      <c r="G37" s="63">
        <f>+SUM(G2:G36)</f>
        <v>4702.3150000000005</v>
      </c>
      <c r="H37" s="63">
        <f>+SUM(H2:H36)</f>
        <v>6001.1016666666674</v>
      </c>
      <c r="I37" s="63">
        <f>+SUM(I2:I36)</f>
        <v>20106.306666666671</v>
      </c>
      <c r="J37" s="63">
        <f>+SUM(J2:J36)</f>
        <v>5961.8066666666682</v>
      </c>
      <c r="K37" s="63">
        <f>+SUM(K2:K36)</f>
        <v>7737.2800000000007</v>
      </c>
      <c r="L37" s="63">
        <f>+SUM(L2:L36)</f>
        <v>20353.213333333333</v>
      </c>
      <c r="M37" s="63">
        <f>+SUM(M2:M36)</f>
        <v>7414.5183333333334</v>
      </c>
      <c r="N37" s="63">
        <f t="shared" si="17"/>
        <v>129051.99333333335</v>
      </c>
    </row>
    <row r="38" spans="1:15">
      <c r="N38" s="64"/>
    </row>
    <row r="39" spans="1:15">
      <c r="C39" s="65"/>
      <c r="D39" s="65"/>
      <c r="E39" s="70"/>
      <c r="F39" s="64">
        <f>+N11+N12</f>
        <v>17980.833333333336</v>
      </c>
      <c r="N39" s="64"/>
    </row>
    <row r="41" spans="1:15">
      <c r="I41" s="62" t="s">
        <v>100</v>
      </c>
      <c r="J41" s="66">
        <f>+' Budget de Trésorerie.'!N12</f>
        <v>87126.885014</v>
      </c>
    </row>
    <row r="42" spans="1:15">
      <c r="I42" s="62" t="s">
        <v>101</v>
      </c>
      <c r="J42" s="69">
        <f>+N37</f>
        <v>129051.99333333335</v>
      </c>
    </row>
    <row r="43" spans="1:15">
      <c r="I43" s="62" t="s">
        <v>83</v>
      </c>
      <c r="J43" s="66">
        <f>+(J41-J42)</f>
        <v>-41925.108319333347</v>
      </c>
    </row>
    <row r="46" spans="1:15">
      <c r="O46" s="67"/>
    </row>
    <row r="53" spans="15:15">
      <c r="O53" s="67"/>
    </row>
  </sheetData>
  <pageMargins left="0.7" right="0.7" top="0.75" bottom="0.75" header="0.3" footer="0.3"/>
  <pageSetup paperSize="9" orientation="portrait" horizontalDpi="300" verticalDpi="300" r:id="rId1"/>
  <ignoredErrors>
    <ignoredError sqref="D5 H5 H11 J19 L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1</vt:lpstr>
      <vt:lpstr>Compte de résultat</vt:lpstr>
      <vt:lpstr>TVA</vt:lpstr>
      <vt:lpstr> Budget de Trésorerie.</vt:lpstr>
      <vt:lpstr>Apport compt courant</vt:lpstr>
      <vt:lpstr>Charges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assa mikael</dc:creator>
  <cp:lastModifiedBy>mikael assa</cp:lastModifiedBy>
  <cp:lastPrinted>2017-08-30T16:50:02Z</cp:lastPrinted>
  <dcterms:created xsi:type="dcterms:W3CDTF">2017-03-31T11:36:46Z</dcterms:created>
  <dcterms:modified xsi:type="dcterms:W3CDTF">2017-08-30T18:26:20Z</dcterms:modified>
</cp:coreProperties>
</file>