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/>
  <bookViews>
    <workbookView xWindow="0" yWindow="45" windowWidth="15960" windowHeight="11760" firstSheet="3" activeTab="4"/>
  </bookViews>
  <sheets>
    <sheet name="1" sheetId="1" r:id="rId1"/>
    <sheet name="Compte de résultat" sheetId="2" r:id="rId2"/>
    <sheet name="TVA" sheetId="4" r:id="rId3"/>
    <sheet name=" Budget de Trésorerie." sheetId="5" r:id="rId4"/>
    <sheet name="Charges" sheetId="7" r:id="rId5"/>
  </sheets>
  <definedNames>
    <definedName name="_xlnm.Print_Area" localSheetId="3">' Budget de Trésorerie.'!$A$1:$O$50</definedName>
    <definedName name="_xlnm.Print_Area" localSheetId="4">Charges!$A$1:$N$50</definedName>
  </definedNames>
  <calcPr calcId="145621"/>
</workbook>
</file>

<file path=xl/calcChain.xml><?xml version="1.0" encoding="utf-8"?>
<calcChain xmlns="http://schemas.openxmlformats.org/spreadsheetml/2006/main">
  <c r="R17" i="7" l="1"/>
  <c r="R12" i="7"/>
  <c r="R11" i="7"/>
  <c r="R2" i="7"/>
  <c r="C12" i="5" l="1"/>
  <c r="D12" i="5"/>
  <c r="E12" i="5"/>
  <c r="F12" i="5"/>
  <c r="G12" i="5"/>
  <c r="H12" i="5"/>
  <c r="I12" i="5"/>
  <c r="J12" i="5"/>
  <c r="K12" i="5"/>
  <c r="L12" i="5"/>
  <c r="M12" i="5"/>
  <c r="N12" i="5"/>
  <c r="B12" i="5"/>
  <c r="M21" i="5"/>
  <c r="L21" i="5"/>
  <c r="K21" i="5"/>
  <c r="J21" i="5"/>
  <c r="I21" i="5"/>
  <c r="H21" i="5"/>
  <c r="G21" i="5"/>
  <c r="F21" i="5"/>
  <c r="E21" i="5"/>
  <c r="D21" i="5"/>
  <c r="C21" i="5"/>
  <c r="B21" i="5"/>
  <c r="N21" i="5" s="1"/>
  <c r="M20" i="5"/>
  <c r="L20" i="5"/>
  <c r="K20" i="5"/>
  <c r="J20" i="5"/>
  <c r="I20" i="5"/>
  <c r="H20" i="5"/>
  <c r="G20" i="5"/>
  <c r="F20" i="5"/>
  <c r="E20" i="5"/>
  <c r="D20" i="5"/>
  <c r="C20" i="5"/>
  <c r="B20" i="5"/>
  <c r="N20" i="5" s="1"/>
  <c r="O52" i="7"/>
  <c r="N25" i="5"/>
  <c r="M26" i="5"/>
  <c r="L26" i="5"/>
  <c r="K26" i="5"/>
  <c r="J26" i="5"/>
  <c r="I26" i="5"/>
  <c r="H26" i="5"/>
  <c r="G26" i="5"/>
  <c r="D26" i="5"/>
  <c r="N26" i="5" s="1"/>
  <c r="N38" i="7"/>
  <c r="N39" i="7"/>
  <c r="E51" i="7"/>
  <c r="D12" i="7"/>
  <c r="E12" i="7"/>
  <c r="F12" i="7"/>
  <c r="G12" i="7"/>
  <c r="H12" i="7"/>
  <c r="I12" i="7"/>
  <c r="J12" i="7"/>
  <c r="K12" i="7"/>
  <c r="L12" i="7"/>
  <c r="M12" i="7"/>
  <c r="C12" i="7"/>
  <c r="M11" i="7"/>
  <c r="J11" i="7"/>
  <c r="K11" i="7"/>
  <c r="L11" i="7"/>
  <c r="G11" i="7"/>
  <c r="I11" i="7"/>
  <c r="H11" i="7"/>
  <c r="D11" i="7"/>
  <c r="P40" i="7" l="1"/>
  <c r="N23" i="5"/>
  <c r="N35" i="5"/>
  <c r="N36" i="5"/>
  <c r="N39" i="5" l="1"/>
  <c r="N40" i="5"/>
  <c r="N41" i="5"/>
  <c r="N51" i="5"/>
  <c r="P16" i="5"/>
  <c r="P17" i="5"/>
  <c r="P18" i="5"/>
  <c r="P19" i="5"/>
  <c r="P20" i="5"/>
  <c r="P21" i="5"/>
  <c r="P22" i="5"/>
  <c r="P25" i="5"/>
  <c r="P26" i="5"/>
  <c r="P27" i="5"/>
  <c r="P28" i="5"/>
  <c r="P15" i="5"/>
  <c r="O29" i="5"/>
  <c r="O30" i="5" s="1"/>
  <c r="P10" i="5"/>
  <c r="O9" i="5"/>
  <c r="N4" i="5"/>
  <c r="P29" i="5" l="1"/>
  <c r="C34" i="5"/>
  <c r="E34" i="5"/>
  <c r="F34" i="5"/>
  <c r="J34" i="5"/>
  <c r="B34" i="5"/>
  <c r="L13" i="7"/>
  <c r="N13" i="7" s="1"/>
  <c r="M30" i="7"/>
  <c r="J30" i="7"/>
  <c r="L30" i="7"/>
  <c r="N35" i="7"/>
  <c r="N37" i="7"/>
  <c r="C2" i="7" l="1"/>
  <c r="C42" i="7" s="1"/>
  <c r="D2" i="7"/>
  <c r="D42" i="7" s="1"/>
  <c r="E2" i="7"/>
  <c r="E42" i="7" s="1"/>
  <c r="F2" i="7"/>
  <c r="F42" i="7" s="1"/>
  <c r="G2" i="7"/>
  <c r="G42" i="7" s="1"/>
  <c r="H2" i="7"/>
  <c r="H42" i="7" s="1"/>
  <c r="I2" i="7"/>
  <c r="I42" i="7" s="1"/>
  <c r="J2" i="7"/>
  <c r="J42" i="7" s="1"/>
  <c r="K2" i="7"/>
  <c r="K42" i="7" s="1"/>
  <c r="L2" i="7"/>
  <c r="L42" i="7" s="1"/>
  <c r="M2" i="7"/>
  <c r="B2" i="7"/>
  <c r="B42" i="7" s="1"/>
  <c r="D17" i="5"/>
  <c r="F17" i="5"/>
  <c r="H17" i="5"/>
  <c r="J17" i="5"/>
  <c r="L17" i="5"/>
  <c r="B17" i="5"/>
  <c r="C33" i="5"/>
  <c r="D33" i="5"/>
  <c r="E33" i="5"/>
  <c r="F33" i="5"/>
  <c r="G33" i="5"/>
  <c r="H33" i="5"/>
  <c r="I33" i="5"/>
  <c r="J33" i="5"/>
  <c r="K33" i="5"/>
  <c r="L33" i="5"/>
  <c r="M33" i="5"/>
  <c r="B33" i="5"/>
  <c r="N33" i="5" s="1"/>
  <c r="C31" i="5"/>
  <c r="D31" i="5"/>
  <c r="E31" i="5"/>
  <c r="F31" i="5"/>
  <c r="G31" i="5"/>
  <c r="H31" i="5"/>
  <c r="I31" i="5"/>
  <c r="J31" i="5"/>
  <c r="K31" i="5"/>
  <c r="L31" i="5"/>
  <c r="M31" i="5"/>
  <c r="B31" i="5"/>
  <c r="K29" i="5"/>
  <c r="L29" i="5"/>
  <c r="M29" i="5"/>
  <c r="C28" i="5"/>
  <c r="D28" i="5"/>
  <c r="E28" i="5"/>
  <c r="F28" i="5"/>
  <c r="G28" i="5"/>
  <c r="K28" i="5"/>
  <c r="L28" i="5"/>
  <c r="M28" i="5"/>
  <c r="B28" i="5"/>
  <c r="N31" i="5" l="1"/>
  <c r="M9" i="7" l="1"/>
  <c r="M51" i="7"/>
  <c r="C14" i="5"/>
  <c r="D14" i="5"/>
  <c r="E14" i="5"/>
  <c r="F14" i="5"/>
  <c r="G14" i="5"/>
  <c r="H14" i="5"/>
  <c r="I14" i="5"/>
  <c r="J14" i="5"/>
  <c r="K14" i="5"/>
  <c r="L14" i="5"/>
  <c r="M14" i="5"/>
  <c r="B14" i="5"/>
  <c r="M19" i="7"/>
  <c r="N19" i="7" s="1"/>
  <c r="M20" i="7"/>
  <c r="N20" i="7" s="1"/>
  <c r="M6" i="7"/>
  <c r="M17" i="5" s="1"/>
  <c r="M34" i="5"/>
  <c r="L5" i="7"/>
  <c r="L23" i="7"/>
  <c r="L24" i="7"/>
  <c r="N15" i="7"/>
  <c r="K22" i="7"/>
  <c r="L22" i="7"/>
  <c r="M22" i="7"/>
  <c r="K7" i="7"/>
  <c r="K19" i="5" s="1"/>
  <c r="L7" i="7"/>
  <c r="L19" i="5" s="1"/>
  <c r="M7" i="7"/>
  <c r="M19" i="5" s="1"/>
  <c r="L34" i="5"/>
  <c r="K6" i="7"/>
  <c r="K17" i="5" s="1"/>
  <c r="I33" i="7"/>
  <c r="I29" i="5" s="1"/>
  <c r="J33" i="7"/>
  <c r="J29" i="5" s="1"/>
  <c r="J32" i="7"/>
  <c r="J28" i="5" s="1"/>
  <c r="I32" i="7"/>
  <c r="I28" i="5" s="1"/>
  <c r="K21" i="7"/>
  <c r="L21" i="7"/>
  <c r="M21" i="7"/>
  <c r="J21" i="7"/>
  <c r="K34" i="5"/>
  <c r="J7" i="7"/>
  <c r="J19" i="5" s="1"/>
  <c r="K18" i="7"/>
  <c r="L18" i="7"/>
  <c r="M18" i="7"/>
  <c r="J18" i="7"/>
  <c r="J22" i="7"/>
  <c r="I34" i="5"/>
  <c r="I7" i="7"/>
  <c r="I19" i="5" s="1"/>
  <c r="I6" i="7"/>
  <c r="I17" i="5" s="1"/>
  <c r="I28" i="7"/>
  <c r="H22" i="7"/>
  <c r="I22" i="7"/>
  <c r="I18" i="7"/>
  <c r="C34" i="7"/>
  <c r="C30" i="5" s="1"/>
  <c r="D34" i="7"/>
  <c r="D30" i="5" s="1"/>
  <c r="E34" i="7"/>
  <c r="E30" i="5" s="1"/>
  <c r="F34" i="7"/>
  <c r="F30" i="5" s="1"/>
  <c r="G34" i="7"/>
  <c r="G30" i="5" s="1"/>
  <c r="H34" i="7"/>
  <c r="H30" i="5" s="1"/>
  <c r="I34" i="7"/>
  <c r="I30" i="5" s="1"/>
  <c r="J34" i="7"/>
  <c r="J30" i="5" s="1"/>
  <c r="K34" i="7"/>
  <c r="K30" i="5" s="1"/>
  <c r="L34" i="7"/>
  <c r="L30" i="5" s="1"/>
  <c r="M34" i="7"/>
  <c r="M30" i="5" s="1"/>
  <c r="C36" i="7"/>
  <c r="C32" i="5" s="1"/>
  <c r="D36" i="7"/>
  <c r="D32" i="5" s="1"/>
  <c r="E36" i="7"/>
  <c r="E32" i="5" s="1"/>
  <c r="F36" i="7"/>
  <c r="F32" i="5" s="1"/>
  <c r="G36" i="7"/>
  <c r="G32" i="5" s="1"/>
  <c r="H36" i="7"/>
  <c r="H32" i="5" s="1"/>
  <c r="I36" i="7"/>
  <c r="I32" i="5" s="1"/>
  <c r="J36" i="7"/>
  <c r="J32" i="5" s="1"/>
  <c r="K36" i="7"/>
  <c r="K32" i="5" s="1"/>
  <c r="L36" i="7"/>
  <c r="L32" i="5" s="1"/>
  <c r="M36" i="7"/>
  <c r="M32" i="5" s="1"/>
  <c r="H33" i="7"/>
  <c r="H29" i="5" s="1"/>
  <c r="C33" i="7"/>
  <c r="C29" i="5" s="1"/>
  <c r="D33" i="7"/>
  <c r="D29" i="5" s="1"/>
  <c r="E33" i="7"/>
  <c r="E29" i="5" s="1"/>
  <c r="F33" i="7"/>
  <c r="F29" i="5" s="1"/>
  <c r="G33" i="7"/>
  <c r="G29" i="5" s="1"/>
  <c r="H32" i="7"/>
  <c r="H28" i="5" s="1"/>
  <c r="H34" i="5"/>
  <c r="H30" i="7"/>
  <c r="F22" i="7"/>
  <c r="G34" i="5"/>
  <c r="G18" i="7"/>
  <c r="H18" i="7"/>
  <c r="G6" i="7"/>
  <c r="G17" i="5" s="1"/>
  <c r="G5" i="7"/>
  <c r="H5" i="7"/>
  <c r="G29" i="7"/>
  <c r="G22" i="7"/>
  <c r="F18" i="7"/>
  <c r="F23" i="7"/>
  <c r="N23" i="7" s="1"/>
  <c r="E29" i="7"/>
  <c r="F29" i="7"/>
  <c r="F28" i="7"/>
  <c r="E18" i="7"/>
  <c r="E6" i="7"/>
  <c r="E17" i="5" s="1"/>
  <c r="N27" i="7"/>
  <c r="E26" i="7"/>
  <c r="F25" i="7"/>
  <c r="N25" i="7" s="1"/>
  <c r="F24" i="7"/>
  <c r="N24" i="7" s="1"/>
  <c r="N9" i="7" l="1"/>
  <c r="M42" i="7"/>
  <c r="N21" i="7"/>
  <c r="L45" i="5"/>
  <c r="J45" i="5"/>
  <c r="O51" i="7"/>
  <c r="O53" i="7" s="1"/>
  <c r="M45" i="5"/>
  <c r="K45" i="5"/>
  <c r="I45" i="5"/>
  <c r="I44" i="5"/>
  <c r="M44" i="5"/>
  <c r="J44" i="5"/>
  <c r="K44" i="5"/>
  <c r="L44" i="5"/>
  <c r="N16" i="7"/>
  <c r="N26" i="7"/>
  <c r="D22" i="7"/>
  <c r="N22" i="7" s="1"/>
  <c r="D5" i="7"/>
  <c r="D28" i="7"/>
  <c r="N28" i="7" s="1"/>
  <c r="D29" i="7"/>
  <c r="C29" i="7"/>
  <c r="D18" i="7"/>
  <c r="C18" i="7"/>
  <c r="C31" i="7"/>
  <c r="D31" i="7"/>
  <c r="E31" i="7"/>
  <c r="F31" i="7"/>
  <c r="G31" i="7"/>
  <c r="H31" i="7"/>
  <c r="I31" i="7"/>
  <c r="J31" i="7"/>
  <c r="K31" i="7"/>
  <c r="L31" i="7"/>
  <c r="M31" i="7"/>
  <c r="C17" i="7"/>
  <c r="N17" i="7" s="1"/>
  <c r="C14" i="7"/>
  <c r="N14" i="7" s="1"/>
  <c r="C7" i="7"/>
  <c r="C19" i="5" s="1"/>
  <c r="D7" i="7"/>
  <c r="D19" i="5" s="1"/>
  <c r="E7" i="7"/>
  <c r="E19" i="5" s="1"/>
  <c r="E44" i="5" s="1"/>
  <c r="F7" i="7"/>
  <c r="F19" i="5" s="1"/>
  <c r="F44" i="5" s="1"/>
  <c r="G7" i="7"/>
  <c r="G19" i="5" s="1"/>
  <c r="G44" i="5" s="1"/>
  <c r="H7" i="7"/>
  <c r="H19" i="5" s="1"/>
  <c r="H44" i="5" s="1"/>
  <c r="B7" i="7"/>
  <c r="B19" i="5" s="1"/>
  <c r="C6" i="7"/>
  <c r="B30" i="7"/>
  <c r="N30" i="7" s="1"/>
  <c r="B36" i="7"/>
  <c r="B34" i="7"/>
  <c r="B31" i="7"/>
  <c r="B33" i="7"/>
  <c r="C5" i="7"/>
  <c r="E5" i="7"/>
  <c r="F5" i="7"/>
  <c r="I5" i="7"/>
  <c r="J5" i="7"/>
  <c r="K5" i="7"/>
  <c r="M5" i="7"/>
  <c r="B5" i="7"/>
  <c r="C4" i="7"/>
  <c r="D4" i="7"/>
  <c r="E4" i="7"/>
  <c r="F4" i="7"/>
  <c r="G4" i="7"/>
  <c r="H4" i="7"/>
  <c r="I4" i="7"/>
  <c r="J4" i="7"/>
  <c r="K4" i="7"/>
  <c r="L4" i="7"/>
  <c r="M4" i="7"/>
  <c r="B4" i="7"/>
  <c r="N32" i="7"/>
  <c r="N3" i="7"/>
  <c r="N2" i="7"/>
  <c r="B40" i="7" l="1"/>
  <c r="L40" i="7"/>
  <c r="J40" i="7"/>
  <c r="H40" i="7"/>
  <c r="F40" i="7"/>
  <c r="D40" i="7"/>
  <c r="K40" i="7"/>
  <c r="I40" i="7"/>
  <c r="G40" i="7"/>
  <c r="E40" i="7"/>
  <c r="C40" i="7"/>
  <c r="M40" i="7"/>
  <c r="G45" i="5"/>
  <c r="H45" i="5"/>
  <c r="E45" i="5"/>
  <c r="F45" i="5"/>
  <c r="N11" i="7"/>
  <c r="N34" i="5" s="1"/>
  <c r="D34" i="5"/>
  <c r="D44" i="5" s="1"/>
  <c r="N6" i="7"/>
  <c r="C17" i="5"/>
  <c r="N36" i="7"/>
  <c r="B32" i="5"/>
  <c r="N32" i="5" s="1"/>
  <c r="N34" i="7"/>
  <c r="B30" i="5"/>
  <c r="N30" i="5" s="1"/>
  <c r="N33" i="7"/>
  <c r="B29" i="5"/>
  <c r="N29" i="5" s="1"/>
  <c r="N18" i="7"/>
  <c r="N12" i="7"/>
  <c r="N7" i="7"/>
  <c r="N5" i="7"/>
  <c r="N29" i="7"/>
  <c r="N31" i="7"/>
  <c r="N4" i="7"/>
  <c r="N40" i="7" l="1"/>
  <c r="N42" i="7"/>
  <c r="D45" i="5"/>
  <c r="C44" i="5"/>
  <c r="C45" i="5"/>
  <c r="B45" i="5"/>
  <c r="B44" i="5"/>
  <c r="J47" i="7"/>
  <c r="Q40" i="7" l="1"/>
  <c r="P44" i="7" s="1"/>
  <c r="N23" i="4"/>
  <c r="N18" i="4"/>
  <c r="N19" i="4"/>
  <c r="N20" i="4"/>
  <c r="N21" i="4"/>
  <c r="C17" i="4"/>
  <c r="D17" i="4"/>
  <c r="E17" i="4"/>
  <c r="F17" i="4"/>
  <c r="G17" i="4"/>
  <c r="H17" i="4"/>
  <c r="I17" i="4"/>
  <c r="J17" i="4"/>
  <c r="K17" i="4"/>
  <c r="L17" i="4"/>
  <c r="M17" i="4"/>
  <c r="B17" i="4"/>
  <c r="C16" i="4"/>
  <c r="D16" i="4"/>
  <c r="E16" i="4"/>
  <c r="F16" i="4"/>
  <c r="G16" i="4"/>
  <c r="H16" i="4"/>
  <c r="I16" i="4"/>
  <c r="J16" i="4"/>
  <c r="K16" i="4"/>
  <c r="L16" i="4"/>
  <c r="M16" i="4"/>
  <c r="B16" i="4"/>
  <c r="C15" i="4"/>
  <c r="D15" i="4"/>
  <c r="E15" i="4"/>
  <c r="F15" i="4"/>
  <c r="G15" i="4"/>
  <c r="H15" i="4"/>
  <c r="I15" i="4"/>
  <c r="J15" i="4"/>
  <c r="K15" i="4"/>
  <c r="L15" i="4"/>
  <c r="M15" i="4"/>
  <c r="B15" i="4"/>
  <c r="C14" i="4"/>
  <c r="D14" i="4"/>
  <c r="E14" i="4"/>
  <c r="F14" i="4"/>
  <c r="G14" i="4"/>
  <c r="H14" i="4"/>
  <c r="I14" i="4"/>
  <c r="J14" i="4"/>
  <c r="K14" i="4"/>
  <c r="L14" i="4"/>
  <c r="M14" i="4"/>
  <c r="B14" i="4"/>
  <c r="C11" i="4"/>
  <c r="D11" i="4"/>
  <c r="E11" i="4"/>
  <c r="F11" i="4"/>
  <c r="G11" i="4"/>
  <c r="H11" i="4"/>
  <c r="I11" i="4"/>
  <c r="J11" i="4"/>
  <c r="K11" i="4"/>
  <c r="L11" i="4"/>
  <c r="M11" i="4"/>
  <c r="B11" i="4"/>
  <c r="C12" i="4"/>
  <c r="D12" i="4"/>
  <c r="E12" i="4"/>
  <c r="F12" i="4"/>
  <c r="G12" i="4"/>
  <c r="H12" i="4"/>
  <c r="I12" i="4"/>
  <c r="J12" i="4"/>
  <c r="K12" i="4"/>
  <c r="L12" i="4"/>
  <c r="M12" i="4"/>
  <c r="B12" i="4"/>
  <c r="C13" i="4"/>
  <c r="D13" i="4"/>
  <c r="E13" i="4"/>
  <c r="F13" i="4"/>
  <c r="G13" i="4"/>
  <c r="H13" i="4"/>
  <c r="I13" i="4"/>
  <c r="J13" i="4"/>
  <c r="K13" i="4"/>
  <c r="L13" i="4"/>
  <c r="M13" i="4"/>
  <c r="B13" i="4"/>
  <c r="N46" i="5"/>
  <c r="N17" i="5"/>
  <c r="N18" i="5"/>
  <c r="N19" i="5"/>
  <c r="N22" i="5"/>
  <c r="N24" i="5"/>
  <c r="N27" i="5"/>
  <c r="N28" i="5"/>
  <c r="O35" i="5" s="1"/>
  <c r="N37" i="5"/>
  <c r="N38" i="5"/>
  <c r="N15" i="5"/>
  <c r="N5" i="5"/>
  <c r="B14" i="2"/>
  <c r="N13" i="4" l="1"/>
  <c r="N11" i="4"/>
  <c r="N15" i="4"/>
  <c r="N12" i="4"/>
  <c r="N16" i="4"/>
  <c r="N17" i="4"/>
  <c r="N14" i="4"/>
  <c r="G7" i="4"/>
  <c r="H7" i="4"/>
  <c r="I7" i="4"/>
  <c r="J7" i="4"/>
  <c r="K7" i="4"/>
  <c r="L7" i="4"/>
  <c r="M7" i="4"/>
  <c r="I6" i="4"/>
  <c r="K6" i="4"/>
  <c r="L6" i="4"/>
  <c r="G5" i="4"/>
  <c r="H5" i="4"/>
  <c r="I5" i="4"/>
  <c r="J5" i="4"/>
  <c r="K5" i="4"/>
  <c r="L5" i="4"/>
  <c r="G4" i="4"/>
  <c r="L4" i="4"/>
  <c r="M6" i="4"/>
  <c r="N7" i="5"/>
  <c r="G6" i="4"/>
  <c r="H4" i="4"/>
  <c r="F6" i="4"/>
  <c r="F5" i="4"/>
  <c r="F4" i="4"/>
  <c r="H6" i="4" l="1"/>
  <c r="J6" i="4"/>
  <c r="N6" i="5" l="1"/>
  <c r="I4" i="4"/>
  <c r="M5" i="4"/>
  <c r="N8" i="5"/>
  <c r="N6" i="2"/>
  <c r="C6" i="4"/>
  <c r="N7" i="2"/>
  <c r="B6" i="4"/>
  <c r="D6" i="4"/>
  <c r="E6" i="4"/>
  <c r="N8" i="2"/>
  <c r="F7" i="4"/>
  <c r="E7" i="4"/>
  <c r="D7" i="4"/>
  <c r="N6" i="4" l="1"/>
  <c r="J4" i="4"/>
  <c r="E5" i="4"/>
  <c r="E4" i="4"/>
  <c r="D5" i="4"/>
  <c r="D4" i="4"/>
  <c r="C7" i="4"/>
  <c r="C5" i="4"/>
  <c r="C4" i="4"/>
  <c r="B7" i="4"/>
  <c r="B5" i="4"/>
  <c r="B4" i="4"/>
  <c r="N14" i="5"/>
  <c r="N44" i="5" s="1"/>
  <c r="J46" i="7" l="1"/>
  <c r="J48" i="7" s="1"/>
  <c r="O12" i="5"/>
  <c r="N7" i="4"/>
  <c r="N5" i="4"/>
  <c r="M4" i="4"/>
  <c r="M9" i="4" s="1"/>
  <c r="K4" i="4"/>
  <c r="L9" i="4"/>
  <c r="J9" i="4"/>
  <c r="I9" i="4"/>
  <c r="H9" i="4"/>
  <c r="G9" i="4"/>
  <c r="F9" i="4"/>
  <c r="E9" i="4"/>
  <c r="D9" i="4"/>
  <c r="C9" i="4"/>
  <c r="B9" i="4"/>
  <c r="M10" i="2"/>
  <c r="L10" i="2"/>
  <c r="K10" i="2"/>
  <c r="J10" i="2"/>
  <c r="I10" i="2"/>
  <c r="H10" i="2"/>
  <c r="G10" i="2"/>
  <c r="E10" i="2"/>
  <c r="F10" i="2"/>
  <c r="G27" i="2"/>
  <c r="F27" i="2"/>
  <c r="E27" i="2"/>
  <c r="N19" i="2"/>
  <c r="C10" i="2"/>
  <c r="B10" i="2"/>
  <c r="D10" i="2"/>
  <c r="K9" i="4" l="1"/>
  <c r="N9" i="4" s="1"/>
  <c r="N4" i="4"/>
  <c r="N10" i="2"/>
  <c r="K14" i="2"/>
  <c r="K25" i="2"/>
  <c r="K27" i="2" s="1"/>
  <c r="H14" i="2"/>
  <c r="E14" i="2"/>
  <c r="L25" i="2"/>
  <c r="L27" i="2" s="1"/>
  <c r="N12" i="2"/>
  <c r="N13" i="2"/>
  <c r="N15" i="2"/>
  <c r="N17" i="2"/>
  <c r="N18" i="2"/>
  <c r="N22" i="2"/>
  <c r="N29" i="2"/>
  <c r="N31" i="2"/>
  <c r="M25" i="2" l="1"/>
  <c r="M27" i="2" s="1"/>
  <c r="F25" i="2"/>
  <c r="N34" i="2"/>
  <c r="G25" i="2"/>
  <c r="N32" i="2"/>
  <c r="N5" i="2"/>
  <c r="C25" i="2"/>
  <c r="C27" i="2" s="1"/>
  <c r="D25" i="2"/>
  <c r="D27" i="2" s="1"/>
  <c r="H25" i="2"/>
  <c r="H27" i="2" s="1"/>
  <c r="K37" i="2"/>
  <c r="J25" i="2"/>
  <c r="J27" i="2" s="1"/>
  <c r="E22" i="4"/>
  <c r="B25" i="2"/>
  <c r="B27" i="2" s="1"/>
  <c r="L37" i="2"/>
  <c r="L39" i="2" s="1"/>
  <c r="N21" i="2"/>
  <c r="N14" i="2"/>
  <c r="K39" i="2" l="1"/>
  <c r="N23" i="2"/>
  <c r="G37" i="2"/>
  <c r="G39" i="2" s="1"/>
  <c r="N35" i="2"/>
  <c r="M37" i="2"/>
  <c r="M39" i="2" s="1"/>
  <c r="I25" i="2"/>
  <c r="I27" i="2" s="1"/>
  <c r="E25" i="2"/>
  <c r="G22" i="4"/>
  <c r="G24" i="4" s="1"/>
  <c r="E24" i="4"/>
  <c r="D37" i="2"/>
  <c r="D39" i="2" s="1"/>
  <c r="B22" i="4"/>
  <c r="L22" i="4"/>
  <c r="L24" i="4" s="1"/>
  <c r="J37" i="2"/>
  <c r="J39" i="2" s="1"/>
  <c r="C22" i="4"/>
  <c r="K22" i="4"/>
  <c r="K24" i="4" s="1"/>
  <c r="C37" i="2"/>
  <c r="C39" i="2" s="1"/>
  <c r="H37" i="2"/>
  <c r="H39" i="2" s="1"/>
  <c r="F22" i="4"/>
  <c r="F24" i="4" s="1"/>
  <c r="F37" i="2"/>
  <c r="F39" i="2" s="1"/>
  <c r="I37" i="2" l="1"/>
  <c r="I39" i="2" s="1"/>
  <c r="E37" i="2"/>
  <c r="E39" i="2" s="1"/>
  <c r="N25" i="2"/>
  <c r="M22" i="4"/>
  <c r="M24" i="4" s="1"/>
  <c r="C24" i="4"/>
  <c r="N16" i="2"/>
  <c r="B37" i="2"/>
  <c r="B39" i="2" s="1"/>
  <c r="B40" i="2" s="1"/>
  <c r="C40" i="2" s="1"/>
  <c r="D40" i="2" s="1"/>
  <c r="B24" i="4"/>
  <c r="I22" i="4"/>
  <c r="I24" i="4" s="1"/>
  <c r="D22" i="4"/>
  <c r="E40" i="2" l="1"/>
  <c r="F40" i="2" s="1"/>
  <c r="G40" i="2" s="1"/>
  <c r="H40" i="2" s="1"/>
  <c r="I40" i="2" s="1"/>
  <c r="J40" i="2" s="1"/>
  <c r="K40" i="2" s="1"/>
  <c r="L40" i="2" s="1"/>
  <c r="M40" i="2" s="1"/>
  <c r="N27" i="2"/>
  <c r="N37" i="2" s="1"/>
  <c r="N39" i="2" s="1"/>
  <c r="H22" i="4"/>
  <c r="D24" i="4"/>
  <c r="J22" i="4"/>
  <c r="J24" i="4" s="1"/>
  <c r="H24" i="4" l="1"/>
  <c r="N22" i="4"/>
  <c r="N24" i="4" l="1"/>
  <c r="N52" i="5"/>
  <c r="N45" i="5"/>
  <c r="O41" i="5" l="1"/>
  <c r="N53" i="5"/>
  <c r="B47" i="5"/>
  <c r="B48" i="5" s="1"/>
  <c r="C48" i="5"/>
  <c r="M47" i="5"/>
  <c r="D47" i="5"/>
  <c r="D48" i="5"/>
  <c r="I47" i="5"/>
  <c r="F47" i="5"/>
  <c r="C47" i="5"/>
  <c r="N47" i="5" s="1"/>
  <c r="K47" i="5"/>
  <c r="H47" i="5"/>
  <c r="E47" i="5"/>
  <c r="E48" i="5" s="1"/>
  <c r="F48" i="5" s="1"/>
  <c r="J47" i="5"/>
  <c r="G47" i="5"/>
  <c r="G48" i="5" s="1"/>
  <c r="L47" i="5"/>
  <c r="H48" i="5" l="1"/>
  <c r="I48" i="5" s="1"/>
  <c r="J48" i="5" s="1"/>
  <c r="K48" i="5" s="1"/>
  <c r="L48" i="5" s="1"/>
  <c r="M48" i="5" s="1"/>
</calcChain>
</file>

<file path=xl/sharedStrings.xml><?xml version="1.0" encoding="utf-8"?>
<sst xmlns="http://schemas.openxmlformats.org/spreadsheetml/2006/main" count="210" uniqueCount="124">
  <si>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</si>
  <si>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</si>
  <si>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</si>
  <si>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</si>
  <si>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</si>
  <si>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</si>
  <si>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</si>
  <si>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</si>
  <si>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</si>
  <si>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</si>
  <si>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</si>
  <si>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</si>
  <si>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Loyers</t>
  </si>
  <si>
    <t>(non soumis à TVA)</t>
  </si>
  <si>
    <t>Frais d'entretien</t>
  </si>
  <si>
    <t>Assurance</t>
  </si>
  <si>
    <t>Frais de télécommunication</t>
  </si>
  <si>
    <t>Taxe professionnelle</t>
  </si>
  <si>
    <t>Charges sociales</t>
  </si>
  <si>
    <t>TOTAL</t>
  </si>
  <si>
    <t>PRODUITS</t>
  </si>
  <si>
    <t>TOTAL PRODUITS</t>
  </si>
  <si>
    <t>S/Total salaires</t>
  </si>
  <si>
    <t>Charges Financières</t>
  </si>
  <si>
    <t>Interêts d'emprunt</t>
  </si>
  <si>
    <t>Dotations aux amts</t>
  </si>
  <si>
    <t>Dotations aux prov.</t>
  </si>
  <si>
    <t>Total des charges</t>
  </si>
  <si>
    <t>Résultat mensuel</t>
  </si>
  <si>
    <t>Résultat cumulé</t>
  </si>
  <si>
    <t>Investissements</t>
  </si>
  <si>
    <t>TVA COLLECTEE</t>
  </si>
  <si>
    <t>TVA DEDUCTIBLE</t>
  </si>
  <si>
    <t>Tva déductible</t>
  </si>
  <si>
    <t>TVA A PAYER</t>
  </si>
  <si>
    <t xml:space="preserve">CA Patients </t>
  </si>
  <si>
    <t>CA intervenant adhésion</t>
  </si>
  <si>
    <t>CA forfait mensuel variable</t>
  </si>
  <si>
    <t>CA intervenant forfait fixe</t>
  </si>
  <si>
    <t>Edf</t>
  </si>
  <si>
    <t>Frais de scolarité</t>
  </si>
  <si>
    <t xml:space="preserve">Frais d'honoraire </t>
  </si>
  <si>
    <t>Publicité: (doctolib,journal gratuit,p.j,relation publique pro)</t>
  </si>
  <si>
    <t xml:space="preserve"> </t>
  </si>
  <si>
    <t>Salaires Controleur de Gestion</t>
  </si>
  <si>
    <t xml:space="preserve">Salaires Manager </t>
  </si>
  <si>
    <t xml:space="preserve">Indemnité stagiare </t>
  </si>
  <si>
    <t xml:space="preserve">Autorisation decouvert </t>
  </si>
  <si>
    <t xml:space="preserve">Taux de croissance </t>
  </si>
  <si>
    <t>Consommation en provenance d'un tiers /Autre charge externe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</si>
  <si>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</si>
  <si>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</si>
  <si>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</si>
  <si>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</si>
  <si>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</si>
  <si>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</si>
  <si>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</si>
  <si>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</si>
  <si>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</si>
  <si>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</si>
  <si>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</si>
  <si>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</si>
  <si>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Apport en compte courant</t>
  </si>
  <si>
    <t>Frais d'honoraire (Comptabilité)</t>
  </si>
  <si>
    <t>Publicité: (doctolib,journal gratuit,p.j,relation publique pro,Résalib)</t>
  </si>
  <si>
    <t>Charges/Mois</t>
  </si>
  <si>
    <t>Total</t>
  </si>
  <si>
    <t>CDD</t>
  </si>
  <si>
    <t>Loyer</t>
  </si>
  <si>
    <t>Free mobile</t>
  </si>
  <si>
    <t>Free telecom</t>
  </si>
  <si>
    <t>EDF</t>
  </si>
  <si>
    <t xml:space="preserve">Honoraire </t>
  </si>
  <si>
    <t>URSSAF</t>
  </si>
  <si>
    <t>Journal gratuit</t>
  </si>
  <si>
    <t>Autre</t>
  </si>
  <si>
    <t>Protection Pro</t>
  </si>
  <si>
    <t xml:space="preserve">Entrée fixe  </t>
  </si>
  <si>
    <t xml:space="preserve">Sortie fixe </t>
  </si>
  <si>
    <t>FFE</t>
  </si>
  <si>
    <t>call pact</t>
  </si>
  <si>
    <t>Doctolib</t>
  </si>
  <si>
    <t>SOCOTEC</t>
  </si>
  <si>
    <t>Pages jaunes doc</t>
  </si>
  <si>
    <t>INPI</t>
  </si>
  <si>
    <t>APCE</t>
  </si>
  <si>
    <t>STATISTA GMBH</t>
  </si>
  <si>
    <t>MATMUT</t>
  </si>
  <si>
    <t>HUMANIS</t>
  </si>
  <si>
    <t>Résalib</t>
  </si>
  <si>
    <t>Stagiaire</t>
  </si>
  <si>
    <t>FORMATION DG</t>
  </si>
  <si>
    <t>CRISTAL AIR</t>
  </si>
  <si>
    <t>ESCG</t>
  </si>
  <si>
    <t>AGENCE DE PAYEMENT</t>
  </si>
  <si>
    <t xml:space="preserve">Cleaneset ménage </t>
  </si>
  <si>
    <t>Assurance prêt 1</t>
  </si>
  <si>
    <t>Assurance prêt 2</t>
  </si>
  <si>
    <t>Prêt 1 Echéance (22700)</t>
  </si>
  <si>
    <t>Prêt 2 Echéance (40000)</t>
  </si>
  <si>
    <t xml:space="preserve">Frais Fi prêt 1 </t>
  </si>
  <si>
    <t>Echeance prêt Frais Fi Prêt 2</t>
  </si>
  <si>
    <t>Impôts TVA</t>
  </si>
  <si>
    <t xml:space="preserve">Remboursement compte TVA </t>
  </si>
  <si>
    <t>CA intervenant abonnement</t>
  </si>
  <si>
    <t>TVA DECLARATIONS</t>
  </si>
  <si>
    <t xml:space="preserve"> -     </t>
  </si>
  <si>
    <t>CORRECTIONS</t>
  </si>
  <si>
    <t>Assurance???</t>
  </si>
  <si>
    <t>?</t>
  </si>
  <si>
    <t>STOP</t>
  </si>
  <si>
    <t>CHECK</t>
  </si>
  <si>
    <t>REMBOURSEMENT TVA BANQUE</t>
  </si>
  <si>
    <t>Formation dirigeante</t>
  </si>
  <si>
    <t>Frais de scolarité alternance</t>
  </si>
  <si>
    <t>Point mort sans salaire dirigeante</t>
  </si>
  <si>
    <t>Dépenses en moins au prochain exercice</t>
  </si>
  <si>
    <t>Expo dispo TVA facture</t>
  </si>
  <si>
    <t>12250: INVESTISSEMENT FINANCE PAR EMPRUNT</t>
  </si>
  <si>
    <t>APPORT 2017</t>
  </si>
  <si>
    <t>Dette finacière</t>
  </si>
  <si>
    <t>URSAFF</t>
  </si>
  <si>
    <t>TVA</t>
  </si>
  <si>
    <t>Dette trésorerie 6600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</si>
</sst>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_-* #,##0.00\ [$€-40C]_-;\-* #,##0.00\ [$€-40C]_-;_-* &quot;-&quot;??\ [$€-40C]_-;_-@_-"/>
    <numFmt numFmtId="166" formatCode="0.0"/>
  </numFmts>
  <fonts count="8" x14ac:knownFonts="1">
    <font>
      <sz val="10"/>
      <color indexed="8"/>
      <name val="Arial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1"/>
      <name val="Arial"/>
      <family val="2"/>
    </font>
    <font>
      <b/>
      <sz val="10"/>
      <color indexed="11"/>
      <name val="Arial"/>
      <family val="2"/>
    </font>
    <font>
      <i/>
      <sz val="10"/>
      <color indexed="1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</borders>
  <cellStyleXfs count="2">
    <xf numFmtId="0" fontId="0" fillId="0" borderId="0" applyNumberFormat="0" applyFill="0" applyBorder="0" applyProtection="0"/>
    <xf numFmtId="9" fontId="6" fillId="0" borderId="0" applyFont="0" applyFill="0" applyBorder="0" applyAlignment="0" applyProtection="0"/>
  </cellStyleXfs>
  <cellXfs count="13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49" fontId="1" fillId="2" borderId="1" xfId="0" applyNumberFormat="1" applyFont="1" applyFill="1" applyBorder="1" applyAlignment="1">
      <alignment vertical="center"/>
    </xf>
    <xf numFmtId="49" fontId="0" fillId="2" borderId="1" xfId="0" applyNumberFormat="1" applyFont="1" applyFill="1" applyBorder="1" applyAlignment="1"/>
    <xf numFmtId="164" fontId="0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49" fontId="0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49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/>
    <xf numFmtId="164" fontId="3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/>
    <xf numFmtId="0" fontId="0" fillId="2" borderId="1" xfId="0" applyNumberFormat="1" applyFont="1" applyFill="1" applyBorder="1" applyAlignment="1"/>
    <xf numFmtId="0" fontId="0" fillId="0" borderId="0" xfId="0" applyNumberFormat="1" applyFont="1" applyAlignment="1"/>
    <xf numFmtId="49" fontId="5" fillId="2" borderId="1" xfId="0" applyNumberFormat="1" applyFont="1" applyFill="1" applyBorder="1" applyAlignment="1"/>
    <xf numFmtId="164" fontId="5" fillId="2" borderId="1" xfId="0" applyNumberFormat="1" applyFont="1" applyFill="1" applyBorder="1" applyAlignment="1"/>
    <xf numFmtId="49" fontId="0" fillId="2" borderId="1" xfId="0" applyNumberFormat="1" applyFill="1" applyBorder="1" applyAlignment="1"/>
    <xf numFmtId="0" fontId="0" fillId="2" borderId="1" xfId="0" applyFill="1" applyBorder="1" applyAlignment="1"/>
    <xf numFmtId="164" fontId="0" fillId="3" borderId="1" xfId="0" applyNumberFormat="1" applyFont="1" applyFill="1" applyBorder="1" applyAlignment="1"/>
    <xf numFmtId="0" fontId="0" fillId="3" borderId="1" xfId="0" applyFont="1" applyFill="1" applyBorder="1" applyAlignment="1"/>
    <xf numFmtId="49" fontId="0" fillId="3" borderId="1" xfId="0" applyNumberFormat="1" applyFont="1" applyFill="1" applyBorder="1" applyAlignment="1">
      <alignment horizontal="center"/>
    </xf>
    <xf numFmtId="0" fontId="0" fillId="3" borderId="0" xfId="0" applyNumberFormat="1" applyFont="1" applyFill="1" applyAlignment="1"/>
    <xf numFmtId="164" fontId="0" fillId="3" borderId="1" xfId="0" applyNumberFormat="1" applyFill="1" applyBorder="1" applyAlignment="1"/>
    <xf numFmtId="49" fontId="0" fillId="2" borderId="1" xfId="0" applyNumberFormat="1" applyFill="1" applyBorder="1" applyAlignment="1">
      <alignment horizontal="left" wrapText="1"/>
    </xf>
    <xf numFmtId="49" fontId="0" fillId="4" borderId="1" xfId="0" applyNumberFormat="1" applyFont="1" applyFill="1" applyBorder="1" applyAlignment="1"/>
    <xf numFmtId="164" fontId="0" fillId="4" borderId="1" xfId="0" applyNumberFormat="1" applyFont="1" applyFill="1" applyBorder="1" applyAlignment="1"/>
    <xf numFmtId="49" fontId="0" fillId="4" borderId="1" xfId="0" applyNumberFormat="1" applyFill="1" applyBorder="1" applyAlignment="1"/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horizontal="center"/>
    </xf>
    <xf numFmtId="49" fontId="0" fillId="5" borderId="1" xfId="0" applyNumberFormat="1" applyFont="1" applyFill="1" applyBorder="1" applyAlignment="1"/>
    <xf numFmtId="164" fontId="0" fillId="5" borderId="1" xfId="0" applyNumberFormat="1" applyFont="1" applyFill="1" applyBorder="1" applyAlignment="1"/>
    <xf numFmtId="0" fontId="6" fillId="4" borderId="1" xfId="0" applyFont="1" applyFill="1" applyBorder="1" applyAlignment="1">
      <alignment wrapText="1"/>
    </xf>
    <xf numFmtId="49" fontId="6" fillId="2" borderId="1" xfId="0" applyNumberFormat="1" applyFont="1" applyFill="1" applyBorder="1" applyAlignment="1"/>
    <xf numFmtId="0" fontId="6" fillId="2" borderId="1" xfId="0" applyFont="1" applyFill="1" applyBorder="1" applyAlignment="1"/>
    <xf numFmtId="49" fontId="6" fillId="2" borderId="1" xfId="0" applyNumberFormat="1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center"/>
    </xf>
    <xf numFmtId="164" fontId="6" fillId="3" borderId="1" xfId="0" applyNumberFormat="1" applyFont="1" applyFill="1" applyBorder="1" applyAlignment="1"/>
    <xf numFmtId="0" fontId="0" fillId="6" borderId="2" xfId="0" applyFill="1" applyBorder="1"/>
    <xf numFmtId="0" fontId="0" fillId="7" borderId="2" xfId="0" applyFill="1" applyBorder="1"/>
    <xf numFmtId="0" fontId="0" fillId="0" borderId="0" xfId="0"/>
    <xf numFmtId="165" fontId="0" fillId="0" borderId="2" xfId="0" applyNumberFormat="1" applyBorder="1" applyAlignment="1">
      <alignment horizontal="center"/>
    </xf>
    <xf numFmtId="0" fontId="0" fillId="4" borderId="2" xfId="0" applyFill="1" applyBorder="1"/>
    <xf numFmtId="165" fontId="0" fillId="0" borderId="0" xfId="0" applyNumberFormat="1"/>
    <xf numFmtId="0" fontId="0" fillId="0" borderId="0" xfId="0" applyBorder="1"/>
    <xf numFmtId="0" fontId="6" fillId="7" borderId="2" xfId="0" applyFont="1" applyFill="1" applyBorder="1"/>
    <xf numFmtId="0" fontId="0" fillId="3" borderId="2" xfId="0" applyFill="1" applyBorder="1"/>
    <xf numFmtId="0" fontId="6" fillId="3" borderId="2" xfId="0" applyFont="1" applyFill="1" applyBorder="1"/>
    <xf numFmtId="0" fontId="6" fillId="0" borderId="0" xfId="0" applyFont="1"/>
    <xf numFmtId="0" fontId="6" fillId="8" borderId="2" xfId="0" applyFont="1" applyFill="1" applyBorder="1"/>
    <xf numFmtId="49" fontId="0" fillId="8" borderId="1" xfId="0" applyNumberFormat="1" applyFont="1" applyFill="1" applyBorder="1" applyAlignment="1"/>
    <xf numFmtId="49" fontId="6" fillId="4" borderId="1" xfId="0" applyNumberFormat="1" applyFont="1" applyFill="1" applyBorder="1" applyAlignment="1">
      <alignment horizontal="center"/>
    </xf>
    <xf numFmtId="164" fontId="0" fillId="4" borderId="1" xfId="0" applyNumberFormat="1" applyFont="1" applyFill="1" applyBorder="1" applyAlignment="1">
      <alignment horizontal="left" indent="1"/>
    </xf>
    <xf numFmtId="0" fontId="0" fillId="4" borderId="1" xfId="0" applyFont="1" applyFill="1" applyBorder="1" applyAlignment="1">
      <alignment horizontal="left" indent="3"/>
    </xf>
    <xf numFmtId="0" fontId="0" fillId="4" borderId="1" xfId="0" applyFont="1" applyFill="1" applyBorder="1" applyAlignment="1"/>
    <xf numFmtId="0" fontId="6" fillId="4" borderId="2" xfId="0" applyFont="1" applyFill="1" applyBorder="1"/>
    <xf numFmtId="0" fontId="0" fillId="4" borderId="0" xfId="0" applyNumberFormat="1" applyFont="1" applyFill="1" applyAlignment="1"/>
    <xf numFmtId="49" fontId="6" fillId="4" borderId="1" xfId="0" applyNumberFormat="1" applyFont="1" applyFill="1" applyBorder="1" applyAlignment="1"/>
    <xf numFmtId="49" fontId="0" fillId="4" borderId="1" xfId="0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164" fontId="0" fillId="4" borderId="3" xfId="0" applyNumberFormat="1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164" fontId="0" fillId="4" borderId="5" xfId="0" applyNumberFormat="1" applyFont="1" applyFill="1" applyBorder="1" applyAlignment="1"/>
    <xf numFmtId="49" fontId="0" fillId="4" borderId="5" xfId="0" applyNumberFormat="1" applyFont="1" applyFill="1" applyBorder="1" applyAlignment="1">
      <alignment horizontal="center"/>
    </xf>
    <xf numFmtId="164" fontId="0" fillId="0" borderId="0" xfId="0" applyNumberFormat="1" applyFont="1" applyAlignment="1"/>
    <xf numFmtId="166" fontId="0" fillId="0" borderId="0" xfId="0" applyNumberFormat="1" applyFont="1" applyAlignment="1"/>
    <xf numFmtId="49" fontId="6" fillId="6" borderId="1" xfId="0" applyNumberFormat="1" applyFont="1" applyFill="1" applyBorder="1" applyAlignment="1"/>
    <xf numFmtId="0" fontId="0" fillId="9" borderId="0" xfId="0" applyNumberFormat="1" applyFont="1" applyFill="1" applyAlignment="1">
      <alignment horizontal="right"/>
    </xf>
    <xf numFmtId="164" fontId="0" fillId="9" borderId="5" xfId="0" applyNumberFormat="1" applyFont="1" applyFill="1" applyBorder="1" applyAlignment="1">
      <alignment horizontal="right"/>
    </xf>
    <xf numFmtId="0" fontId="0" fillId="9" borderId="0" xfId="0" applyNumberFormat="1" applyFont="1" applyFill="1" applyBorder="1" applyAlignment="1">
      <alignment horizontal="right"/>
    </xf>
    <xf numFmtId="164" fontId="0" fillId="9" borderId="6" xfId="0" applyNumberFormat="1" applyFont="1" applyFill="1" applyBorder="1" applyAlignment="1">
      <alignment horizontal="right"/>
    </xf>
    <xf numFmtId="0" fontId="0" fillId="0" borderId="0" xfId="0" applyFont="1"/>
    <xf numFmtId="0" fontId="6" fillId="4" borderId="1" xfId="0" applyFont="1" applyFill="1" applyBorder="1" applyAlignment="1"/>
    <xf numFmtId="0" fontId="6" fillId="0" borderId="2" xfId="0" applyFont="1" applyFill="1" applyBorder="1"/>
    <xf numFmtId="0" fontId="0" fillId="7" borderId="7" xfId="0" applyFill="1" applyBorder="1"/>
    <xf numFmtId="0" fontId="2" fillId="0" borderId="0" xfId="0" applyFont="1"/>
    <xf numFmtId="0" fontId="0" fillId="0" borderId="0" xfId="0" applyNumberFormat="1"/>
    <xf numFmtId="1" fontId="0" fillId="4" borderId="2" xfId="0" applyNumberFormat="1" applyFill="1" applyBorder="1"/>
    <xf numFmtId="1" fontId="0" fillId="0" borderId="0" xfId="0" applyNumberFormat="1"/>
    <xf numFmtId="1" fontId="0" fillId="0" borderId="0" xfId="0" applyNumberFormat="1" applyAlignment="1">
      <alignment vertical="center"/>
    </xf>
    <xf numFmtId="1" fontId="0" fillId="0" borderId="2" xfId="0" applyNumberFormat="1" applyBorder="1"/>
    <xf numFmtId="0" fontId="2" fillId="0" borderId="0" xfId="0" applyNumberFormat="1" applyFont="1"/>
    <xf numFmtId="1" fontId="2" fillId="0" borderId="0" xfId="0" applyNumberFormat="1" applyFont="1"/>
    <xf numFmtId="1" fontId="0" fillId="4" borderId="2" xfId="0" applyNumberFormat="1" applyFill="1" applyBorder="1" applyAlignment="1">
      <alignment horizontal="right"/>
    </xf>
    <xf numFmtId="1" fontId="0" fillId="3" borderId="2" xfId="0" applyNumberFormat="1" applyFill="1" applyBorder="1" applyAlignment="1">
      <alignment horizontal="right"/>
    </xf>
    <xf numFmtId="1" fontId="0" fillId="0" borderId="2" xfId="0" applyNumberFormat="1" applyFill="1" applyBorder="1" applyAlignment="1">
      <alignment horizontal="right"/>
    </xf>
    <xf numFmtId="1" fontId="0" fillId="0" borderId="2" xfId="0" applyNumberFormat="1" applyBorder="1" applyAlignment="1">
      <alignment horizontal="right"/>
    </xf>
    <xf numFmtId="1" fontId="6" fillId="3" borderId="2" xfId="0" applyNumberFormat="1" applyFont="1" applyFill="1" applyBorder="1" applyAlignment="1">
      <alignment horizontal="right"/>
    </xf>
    <xf numFmtId="1" fontId="0" fillId="3" borderId="1" xfId="0" applyNumberFormat="1" applyFont="1" applyFill="1" applyBorder="1" applyAlignment="1">
      <alignment horizontal="right"/>
    </xf>
    <xf numFmtId="1" fontId="0" fillId="8" borderId="2" xfId="0" applyNumberFormat="1" applyFill="1" applyBorder="1" applyAlignment="1">
      <alignment horizontal="right"/>
    </xf>
    <xf numFmtId="164" fontId="0" fillId="5" borderId="1" xfId="0" applyNumberFormat="1" applyFont="1" applyFill="1" applyBorder="1" applyAlignment="1">
      <alignment horizontal="right"/>
    </xf>
    <xf numFmtId="164" fontId="0" fillId="5" borderId="5" xfId="0" applyNumberFormat="1" applyFont="1" applyFill="1" applyBorder="1" applyAlignment="1">
      <alignment horizontal="right"/>
    </xf>
    <xf numFmtId="164" fontId="0" fillId="3" borderId="1" xfId="0" applyNumberFormat="1" applyFont="1" applyFill="1" applyBorder="1" applyAlignment="1">
      <alignment horizontal="right"/>
    </xf>
    <xf numFmtId="164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0" xfId="0" applyNumberFormat="1" applyFont="1" applyAlignment="1">
      <alignment horizontal="right"/>
    </xf>
    <xf numFmtId="164" fontId="0" fillId="4" borderId="1" xfId="0" applyNumberFormat="1" applyFont="1" applyFill="1" applyBorder="1" applyAlignment="1">
      <alignment horizontal="right"/>
    </xf>
    <xf numFmtId="1" fontId="0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right"/>
    </xf>
    <xf numFmtId="164" fontId="0" fillId="0" borderId="0" xfId="0" applyNumberFormat="1" applyFont="1" applyAlignment="1">
      <alignment horizontal="right"/>
    </xf>
    <xf numFmtId="0" fontId="0" fillId="2" borderId="1" xfId="0" applyFont="1" applyFill="1" applyBorder="1" applyAlignment="1">
      <alignment horizontal="right"/>
    </xf>
    <xf numFmtId="164" fontId="0" fillId="2" borderId="1" xfId="0" applyNumberFormat="1" applyFont="1" applyFill="1" applyBorder="1" applyAlignment="1">
      <alignment horizontal="right"/>
    </xf>
    <xf numFmtId="164" fontId="0" fillId="0" borderId="3" xfId="0" applyNumberFormat="1" applyFont="1" applyBorder="1" applyAlignment="1">
      <alignment horizontal="right"/>
    </xf>
    <xf numFmtId="164" fontId="0" fillId="5" borderId="2" xfId="0" applyNumberFormat="1" applyFont="1" applyFill="1" applyBorder="1" applyAlignment="1">
      <alignment horizontal="right"/>
    </xf>
    <xf numFmtId="164" fontId="0" fillId="0" borderId="4" xfId="0" applyNumberFormat="1" applyFont="1" applyBorder="1" applyAlignment="1">
      <alignment horizontal="right"/>
    </xf>
    <xf numFmtId="0" fontId="0" fillId="3" borderId="2" xfId="0" applyNumberFormat="1" applyFill="1" applyBorder="1" applyAlignment="1"/>
    <xf numFmtId="1" fontId="0" fillId="3" borderId="2" xfId="0" applyNumberFormat="1" applyFill="1" applyBorder="1" applyAlignment="1"/>
    <xf numFmtId="1" fontId="0" fillId="3" borderId="0" xfId="0" applyNumberFormat="1" applyFont="1" applyFill="1" applyBorder="1" applyAlignment="1">
      <alignment horizontal="right"/>
    </xf>
    <xf numFmtId="164" fontId="0" fillId="9" borderId="8" xfId="0" applyNumberFormat="1" applyFont="1" applyFill="1" applyBorder="1" applyAlignment="1">
      <alignment horizontal="right"/>
    </xf>
    <xf numFmtId="164" fontId="0" fillId="4" borderId="4" xfId="0" applyNumberFormat="1" applyFont="1" applyFill="1" applyBorder="1" applyAlignment="1"/>
    <xf numFmtId="164" fontId="0" fillId="4" borderId="4" xfId="0" applyNumberFormat="1" applyFont="1" applyFill="1" applyBorder="1" applyAlignment="1">
      <alignment horizontal="right"/>
    </xf>
    <xf numFmtId="0" fontId="0" fillId="4" borderId="0" xfId="0" applyFill="1" applyBorder="1"/>
    <xf numFmtId="49" fontId="6" fillId="4" borderId="9" xfId="0" applyNumberFormat="1" applyFont="1" applyFill="1" applyBorder="1" applyAlignment="1"/>
    <xf numFmtId="0" fontId="6" fillId="4" borderId="10" xfId="0" applyFont="1" applyFill="1" applyBorder="1" applyAlignment="1"/>
    <xf numFmtId="164" fontId="0" fillId="3" borderId="3" xfId="0" applyNumberFormat="1" applyFont="1" applyFill="1" applyBorder="1" applyAlignment="1"/>
    <xf numFmtId="164" fontId="0" fillId="0" borderId="3" xfId="0" applyNumberFormat="1" applyFont="1" applyBorder="1" applyAlignment="1"/>
    <xf numFmtId="164" fontId="0" fillId="4" borderId="2" xfId="0" applyNumberFormat="1" applyFont="1" applyFill="1" applyBorder="1" applyAlignment="1"/>
    <xf numFmtId="164" fontId="0" fillId="4" borderId="2" xfId="0" applyNumberFormat="1" applyFont="1" applyFill="1" applyBorder="1" applyAlignment="1">
      <alignment horizontal="right"/>
    </xf>
    <xf numFmtId="164" fontId="6" fillId="4" borderId="6" xfId="0" applyNumberFormat="1" applyFont="1" applyFill="1" applyBorder="1" applyAlignment="1"/>
    <xf numFmtId="164" fontId="0" fillId="4" borderId="6" xfId="0" applyNumberFormat="1" applyFont="1" applyFill="1" applyBorder="1" applyAlignment="1"/>
    <xf numFmtId="0" fontId="7" fillId="0" borderId="0" xfId="0" applyNumberFormat="1" applyFont="1" applyBorder="1" applyAlignment="1"/>
    <xf numFmtId="9" fontId="0" fillId="0" borderId="0" xfId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D0806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50"/>
  <sheetViews>
    <sheetView showGridLines="0" topLeftCell="A43" zoomScale="70" zoomScaleNormal="70" workbookViewId="0">
      <selection activeCell="C62" sqref="C62"/>
    </sheetView>
  </sheetViews>
  <sheetFormatPr baseColWidth="10" defaultColWidth="11.42578125" defaultRowHeight="13.15" customHeight="1" x14ac:dyDescent="0.2"/>
  <cols>
    <col min="1" max="1" width="26.85546875" style="1" customWidth="1"/>
    <col min="2" max="2" width="27.42578125" style="1" customWidth="1"/>
    <col min="3" max="3" width="23.42578125" style="1" customWidth="1"/>
    <col min="4" max="4" width="17" style="1" customWidth="1"/>
    <col min="5" max="12" width="11.42578125" style="1" customWidth="1"/>
    <col min="13" max="13" width="22" style="1" customWidth="1"/>
    <col min="14" max="256" width="11.42578125" style="1" customWidth="1"/>
  </cols>
  <sheetData>
    <row r="1" spans="1:13" ht="13.1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3.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3.1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3.1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3.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7.45" customHeight="1" x14ac:dyDescent="0.2">
      <c r="A6" s="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3.1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3.1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3.1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13.1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13.1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3.15" customHeight="1" x14ac:dyDescent="0.2">
      <c r="A12" s="4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13.15" customHeight="1" x14ac:dyDescent="0.2">
      <c r="A13" s="4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13.15" customHeight="1" x14ac:dyDescent="0.2">
      <c r="A14" s="4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13.15" customHeight="1" x14ac:dyDescent="0.2">
      <c r="A15" s="4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13.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13.15" customHeight="1" x14ac:dyDescent="0.2">
      <c r="A17" s="4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13.15" customHeight="1" x14ac:dyDescent="0.2">
      <c r="A18" s="4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13.15" customHeight="1" x14ac:dyDescent="0.2">
      <c r="A19" s="4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13.15" customHeight="1" x14ac:dyDescent="0.2">
      <c r="A20" s="5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ht="13.15" customHeight="1" x14ac:dyDescent="0.2">
      <c r="A21" s="4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ht="13.15" customHeight="1" x14ac:dyDescent="0.2">
      <c r="A22" s="5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ht="13.15" customHeight="1" x14ac:dyDescent="0.2">
      <c r="A23" s="4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3.15" customHeight="1" x14ac:dyDescent="0.2">
      <c r="A24" s="4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ht="13.15" customHeight="1" x14ac:dyDescent="0.2">
      <c r="A25" s="4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t="13.1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t="13.1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ht="13.15" customHeight="1" x14ac:dyDescent="0.2">
      <c r="A28" s="4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ht="13.1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13.15" customHeight="1" x14ac:dyDescent="0.2">
      <c r="A30" s="6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13.15" customHeight="1" x14ac:dyDescent="0.2">
      <c r="A31" s="2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3" ht="13.15" customHeight="1" x14ac:dyDescent="0.2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ht="13.15" customHeight="1" x14ac:dyDescent="0.2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ht="12" customHeight="1" x14ac:dyDescent="0.2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ht="13.1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ht="13.15" customHeight="1" x14ac:dyDescent="0.2">
      <c r="A36" s="4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ht="13.1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ht="13.15" customHeight="1" x14ac:dyDescent="0.2">
      <c r="A38" s="2"/>
      <c r="B38" s="8"/>
      <c r="C38" s="8"/>
      <c r="D38" s="9"/>
      <c r="E38" s="2"/>
      <c r="F38" s="2"/>
      <c r="G38" s="2"/>
      <c r="H38" s="2"/>
      <c r="I38" s="2"/>
      <c r="J38" s="2"/>
      <c r="K38" s="2"/>
      <c r="L38" s="2"/>
      <c r="M38" s="2"/>
    </row>
    <row r="39" spans="1:13" ht="13.15" customHeight="1" x14ac:dyDescent="0.2">
      <c r="A39" s="4"/>
      <c r="B39" s="10"/>
      <c r="C39" s="10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ht="13.15" customHeight="1" x14ac:dyDescent="0.2">
      <c r="A40" s="4"/>
      <c r="B40" s="10"/>
      <c r="C40" s="10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ht="13.15" customHeight="1" x14ac:dyDescent="0.2">
      <c r="A41" s="4"/>
      <c r="B41" s="5"/>
      <c r="C41" s="5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ht="13.1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ht="13.1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ht="13.15" customHeight="1" x14ac:dyDescent="0.2">
      <c r="A44" s="6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ht="13.15" customHeight="1" x14ac:dyDescent="0.2">
      <c r="A45" s="2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3" ht="13.1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ht="13.15" customHeight="1" x14ac:dyDescent="0.2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3" ht="13.1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ht="13.15" customHeight="1" x14ac:dyDescent="0.2">
      <c r="A49" s="2"/>
      <c r="B49" s="6"/>
      <c r="C49" s="6"/>
      <c r="D49" s="6"/>
      <c r="E49" s="6"/>
      <c r="F49" s="2"/>
      <c r="G49" s="2"/>
      <c r="H49" s="2"/>
      <c r="I49" s="2"/>
      <c r="J49" s="2"/>
      <c r="K49" s="2"/>
      <c r="L49" s="2"/>
      <c r="M49" s="2"/>
    </row>
    <row r="50" spans="1:13" ht="13.1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ht="13.15" customHeight="1" x14ac:dyDescent="0.2">
      <c r="A51" s="4"/>
      <c r="B51" s="5"/>
      <c r="C51" s="5"/>
      <c r="D51" s="5"/>
      <c r="E51" s="5"/>
      <c r="F51" s="2"/>
      <c r="G51" s="2"/>
      <c r="H51" s="2"/>
      <c r="I51" s="2"/>
      <c r="J51" s="2"/>
      <c r="K51" s="2"/>
      <c r="L51" s="2"/>
      <c r="M51" s="2"/>
    </row>
    <row r="52" spans="1:13" ht="13.15" customHeight="1" x14ac:dyDescent="0.2">
      <c r="A52" s="4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ht="13.1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ht="13.15" customHeight="1" x14ac:dyDescent="0.2">
      <c r="A54" s="4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ht="13.1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ht="13.15" customHeight="1" x14ac:dyDescent="0.2">
      <c r="A56" s="4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ht="13.1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ht="13.15" customHeight="1" x14ac:dyDescent="0.2">
      <c r="A58" s="4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ht="13.1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ht="13.15" customHeight="1" x14ac:dyDescent="0.2">
      <c r="A60" s="4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ht="13.1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ht="13.15" customHeight="1" x14ac:dyDescent="0.2">
      <c r="A62" s="4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ht="13.1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ht="13.15" customHeight="1" x14ac:dyDescent="0.2">
      <c r="A64" s="4"/>
      <c r="B64" s="5"/>
      <c r="C64" s="4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ht="13.15" customHeight="1" x14ac:dyDescent="0.2">
      <c r="A65" s="4"/>
      <c r="B65" s="5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ht="13.15" customHeight="1" x14ac:dyDescent="0.2">
      <c r="A66" s="4"/>
      <c r="B66" s="5">
        <v>1000</v>
      </c>
      <c r="C66" s="4" t="s">
        <v>13</v>
      </c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ht="13.15" customHeight="1" x14ac:dyDescent="0.2">
      <c r="A67" s="4"/>
      <c r="B67" s="5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ht="13.15" customHeight="1" x14ac:dyDescent="0.2">
      <c r="A68" s="4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ht="13.15" customHeight="1" x14ac:dyDescent="0.2">
      <c r="A69" s="4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ht="13.15" customHeight="1" x14ac:dyDescent="0.2">
      <c r="A70" s="4"/>
      <c r="B70" s="5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ht="13.15" customHeight="1" x14ac:dyDescent="0.2">
      <c r="A71" s="4"/>
      <c r="B71" s="5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ht="13.1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ht="13.15" customHeight="1" x14ac:dyDescent="0.2">
      <c r="A73" s="4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ht="13.1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ht="13.1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ht="13.15" customHeight="1" x14ac:dyDescent="0.2">
      <c r="A76" s="4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ht="13.1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ht="13.15" customHeight="1" x14ac:dyDescent="0.2">
      <c r="A78" s="4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ht="13.1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ht="13.15" customHeight="1" x14ac:dyDescent="0.2">
      <c r="A80" s="4"/>
      <c r="B80" s="5"/>
      <c r="C80" s="4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ht="13.15" customHeight="1" x14ac:dyDescent="0.2">
      <c r="A81" s="4"/>
      <c r="B81" s="5"/>
      <c r="C81" s="4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ht="13.15" customHeight="1" x14ac:dyDescent="0.2">
      <c r="A82" s="4"/>
      <c r="B82" s="4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ht="13.1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 ht="13.15" customHeight="1" x14ac:dyDescent="0.2">
      <c r="A84" s="4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ht="13.1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 ht="13.15" customHeight="1" x14ac:dyDescent="0.2">
      <c r="A86" s="4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ht="13.1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 ht="13.15" customHeight="1" x14ac:dyDescent="0.2">
      <c r="A88" s="4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ht="13.1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ht="13.1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ht="13.15" customHeight="1" x14ac:dyDescent="0.2">
      <c r="A91" s="4"/>
      <c r="B91" s="2"/>
      <c r="C91" s="5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ht="13.1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ht="13.1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ht="13.15" customHeight="1" x14ac:dyDescent="0.2">
      <c r="A94" s="4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ht="13.1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ht="13.15" customHeight="1" x14ac:dyDescent="0.2">
      <c r="A96" s="4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 ht="13.1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 ht="13.15" customHeight="1" x14ac:dyDescent="0.2">
      <c r="A98" s="4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 ht="13.1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ht="13.15" customHeight="1" x14ac:dyDescent="0.2">
      <c r="A100" s="4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 ht="13.15" customHeight="1" x14ac:dyDescent="0.2">
      <c r="A101" s="4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 ht="13.1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 ht="13.15" customHeight="1" x14ac:dyDescent="0.2">
      <c r="A103" s="4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 ht="13.15" customHeight="1" x14ac:dyDescent="0.2">
      <c r="A104" s="4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 ht="13.15" customHeight="1" x14ac:dyDescent="0.2">
      <c r="A105" s="4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 ht="13.1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ht="13.15" customHeight="1" x14ac:dyDescent="0.2">
      <c r="A107" s="4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3" ht="13.15" customHeight="1" x14ac:dyDescent="0.2">
      <c r="A108" s="4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3" ht="13.1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1:13" ht="13.1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1:13" ht="13.15" customHeight="1" x14ac:dyDescent="0.2">
      <c r="A111" s="4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3" ht="13.1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 ht="13.1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1:13" ht="13.15" customHeight="1" x14ac:dyDescent="0.2">
      <c r="A114" s="4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3" ht="13.15" customHeight="1" x14ac:dyDescent="0.2">
      <c r="A115" s="4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1:13" ht="13.1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1:13" ht="13.15" customHeight="1" x14ac:dyDescent="0.2">
      <c r="A117" s="4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1:13" ht="13.15" customHeight="1" x14ac:dyDescent="0.2">
      <c r="A118" s="4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1:13" ht="13.1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 ht="13.1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1:13" ht="13.15" customHeight="1" x14ac:dyDescent="0.2">
      <c r="A121" s="4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 ht="13.15" customHeight="1" x14ac:dyDescent="0.2">
      <c r="A122" s="4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 ht="13.1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 ht="13.15" customHeight="1" x14ac:dyDescent="0.2">
      <c r="A124" s="4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 ht="13.15" customHeight="1" x14ac:dyDescent="0.2">
      <c r="A125" s="4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 ht="13.15" customHeight="1" x14ac:dyDescent="0.2">
      <c r="A126" s="4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 ht="13.15" customHeight="1" x14ac:dyDescent="0.2">
      <c r="A127" s="4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 ht="13.15" customHeight="1" x14ac:dyDescent="0.2">
      <c r="A128" s="5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 ht="13.15" customHeight="1" x14ac:dyDescent="0.2">
      <c r="A129" s="4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 ht="13.1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 ht="13.1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 ht="13.15" customHeight="1" x14ac:dyDescent="0.2">
      <c r="A132" s="4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13" ht="13.1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1:13" ht="13.1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 ht="13.15" customHeight="1" x14ac:dyDescent="0.2">
      <c r="A135" s="6"/>
      <c r="B135" s="4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1:13" ht="13.1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1:13" ht="13.1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1:13" ht="13.1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1:13" ht="13.1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1:13" ht="13.1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1:13" ht="13.15" customHeight="1" x14ac:dyDescent="0.2">
      <c r="A141" s="6"/>
      <c r="B141" s="5"/>
      <c r="C141" s="4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1:13" ht="13.15" customHeight="1" x14ac:dyDescent="0.2">
      <c r="A142" s="6"/>
      <c r="B142" s="5"/>
      <c r="C142" s="4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1:13" ht="13.1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1:13" ht="13.15" customHeight="1" x14ac:dyDescent="0.2">
      <c r="A144" s="6"/>
      <c r="B144" s="5"/>
      <c r="C144" s="4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1:13" ht="13.15" customHeight="1" x14ac:dyDescent="0.2">
      <c r="A145" s="1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1:13" ht="13.15" customHeight="1" x14ac:dyDescent="0.2">
      <c r="A146" s="6"/>
      <c r="B146" s="5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1:13" ht="13.1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1:13" ht="13.15" customHeight="1" x14ac:dyDescent="0.2">
      <c r="A148" s="6"/>
      <c r="B148" s="5"/>
      <c r="C148" s="4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1:13" ht="13.15" customHeight="1" x14ac:dyDescent="0.2">
      <c r="A149" s="1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1:13" ht="13.15" customHeight="1" x14ac:dyDescent="0.2">
      <c r="A150" s="6"/>
      <c r="B150" s="5"/>
      <c r="C150" s="4"/>
      <c r="D150" s="2"/>
      <c r="E150" s="2"/>
      <c r="F150" s="2"/>
      <c r="G150" s="2"/>
      <c r="H150" s="2"/>
      <c r="I150" s="2"/>
      <c r="J150" s="2"/>
      <c r="K150" s="2"/>
      <c r="L150" s="2"/>
      <c r="M150" s="2"/>
    </row>
  </sheetData>
  <pageMargins left="0.78740200000000005" right="0.78740200000000005" top="0.98425200000000002" bottom="0.98425200000000002" header="0.49212600000000001" footer="0.49212600000000001"/>
  <pageSetup orientation="portrait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0"/>
  <sheetViews>
    <sheetView showGridLines="0" zoomScale="70" zoomScaleNormal="70" workbookViewId="0">
      <selection activeCell="A29" sqref="A29"/>
    </sheetView>
  </sheetViews>
  <sheetFormatPr baseColWidth="10" defaultColWidth="10.85546875" defaultRowHeight="13.15" customHeight="1" x14ac:dyDescent="0.2"/>
  <cols>
    <col min="1" max="1" width="39" style="12" customWidth="1"/>
    <col min="2" max="2" width="12" style="27" customWidth="1"/>
    <col min="3" max="3" width="10.85546875" style="27" customWidth="1"/>
    <col min="4" max="256" width="10.85546875" style="12" customWidth="1"/>
  </cols>
  <sheetData>
    <row r="1" spans="1:14" ht="13.15" customHeight="1" x14ac:dyDescent="0.2">
      <c r="A1" s="2"/>
      <c r="B1" s="25"/>
      <c r="C1" s="25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13.15" customHeight="1" x14ac:dyDescent="0.2">
      <c r="A2" s="2"/>
      <c r="B2" s="26" t="s">
        <v>0</v>
      </c>
      <c r="C2" s="26" t="s">
        <v>1</v>
      </c>
      <c r="D2" s="14" t="s">
        <v>2</v>
      </c>
      <c r="E2" s="14" t="s">
        <v>3</v>
      </c>
      <c r="F2" s="14" t="s">
        <v>4</v>
      </c>
      <c r="G2" s="14" t="s">
        <v>5</v>
      </c>
      <c r="H2" s="14" t="s">
        <v>6</v>
      </c>
      <c r="I2" s="14" t="s">
        <v>7</v>
      </c>
      <c r="J2" s="14" t="s">
        <v>8</v>
      </c>
      <c r="K2" s="14" t="s">
        <v>9</v>
      </c>
      <c r="L2" s="14" t="s">
        <v>10</v>
      </c>
      <c r="M2" s="14" t="s">
        <v>11</v>
      </c>
      <c r="N2" s="14" t="s">
        <v>19</v>
      </c>
    </row>
    <row r="3" spans="1:14" ht="13.15" customHeight="1" x14ac:dyDescent="0.2">
      <c r="A3" s="6" t="s">
        <v>20</v>
      </c>
      <c r="B3" s="24"/>
      <c r="C3" s="24"/>
      <c r="D3" s="15"/>
      <c r="E3" s="15"/>
      <c r="F3" s="15"/>
      <c r="G3" s="15"/>
      <c r="H3" s="15"/>
      <c r="I3" s="15"/>
      <c r="J3" s="15"/>
      <c r="K3" s="15"/>
      <c r="L3" s="15"/>
      <c r="M3" s="15"/>
      <c r="N3" s="13"/>
    </row>
    <row r="4" spans="1:14" ht="13.15" customHeight="1" x14ac:dyDescent="0.2">
      <c r="A4" s="2"/>
      <c r="B4" s="24"/>
      <c r="C4" s="24"/>
      <c r="D4" s="15"/>
      <c r="E4" s="15"/>
      <c r="F4" s="15"/>
      <c r="G4" s="15"/>
      <c r="H4" s="15"/>
      <c r="I4" s="15"/>
      <c r="J4" s="15"/>
      <c r="K4" s="15"/>
      <c r="L4" s="15"/>
      <c r="M4" s="15"/>
      <c r="N4" s="13"/>
    </row>
    <row r="5" spans="1:14" ht="13.15" customHeight="1" x14ac:dyDescent="0.2">
      <c r="A5" s="22" t="s">
        <v>35</v>
      </c>
      <c r="B5" s="24">
        <v>971</v>
      </c>
      <c r="C5" s="24">
        <v>971</v>
      </c>
      <c r="D5" s="15">
        <v>970.78</v>
      </c>
      <c r="E5" s="15">
        <v>1166.6600000000001</v>
      </c>
      <c r="F5" s="15">
        <v>1458.33</v>
      </c>
      <c r="G5" s="15">
        <v>1458.33</v>
      </c>
      <c r="H5" s="15">
        <v>1458.33</v>
      </c>
      <c r="I5" s="15">
        <v>991.66</v>
      </c>
      <c r="J5" s="15">
        <v>991.66</v>
      </c>
      <c r="K5" s="15">
        <v>1458.33</v>
      </c>
      <c r="L5" s="15">
        <v>1875</v>
      </c>
      <c r="M5" s="15">
        <v>1875</v>
      </c>
      <c r="N5" s="15">
        <f>SUM(B5:M5)</f>
        <v>15646.08</v>
      </c>
    </row>
    <row r="6" spans="1:14" ht="13.15" customHeight="1" x14ac:dyDescent="0.2">
      <c r="A6" s="23" t="s">
        <v>38</v>
      </c>
      <c r="B6" s="24">
        <v>1674.16</v>
      </c>
      <c r="C6" s="24">
        <v>1674.16</v>
      </c>
      <c r="D6" s="15">
        <v>1674.16</v>
      </c>
      <c r="E6" s="15">
        <v>1674.16</v>
      </c>
      <c r="F6" s="15">
        <v>1674.16</v>
      </c>
      <c r="G6" s="15">
        <v>1967.2</v>
      </c>
      <c r="H6" s="15">
        <v>1967.2</v>
      </c>
      <c r="I6" s="15">
        <v>1967.2</v>
      </c>
      <c r="J6" s="15">
        <v>2447.1999999999998</v>
      </c>
      <c r="K6" s="15">
        <v>2447.1999999999998</v>
      </c>
      <c r="L6" s="15">
        <v>2447.1999999999998</v>
      </c>
      <c r="M6" s="15">
        <v>2447.1999999999998</v>
      </c>
      <c r="N6" s="34">
        <f>+SUM(B6:M6)</f>
        <v>24061.200000000004</v>
      </c>
    </row>
    <row r="7" spans="1:14" ht="13.15" customHeight="1" x14ac:dyDescent="0.2">
      <c r="A7" s="22" t="s">
        <v>36</v>
      </c>
      <c r="B7" s="24">
        <v>816.66</v>
      </c>
      <c r="C7" s="24">
        <v>816.66</v>
      </c>
      <c r="D7" s="15">
        <v>816.66</v>
      </c>
      <c r="E7" s="15">
        <v>914.83</v>
      </c>
      <c r="F7" s="15">
        <v>1164.33</v>
      </c>
      <c r="G7" s="15">
        <v>1372.25</v>
      </c>
      <c r="H7" s="15">
        <v>1580.16</v>
      </c>
      <c r="I7" s="15">
        <v>2395</v>
      </c>
      <c r="J7" s="15">
        <v>2395</v>
      </c>
      <c r="K7" s="15">
        <v>2395.1999999999998</v>
      </c>
      <c r="L7" s="15">
        <v>3193</v>
      </c>
      <c r="M7" s="15">
        <v>3193</v>
      </c>
      <c r="N7" s="34">
        <f>+SUM(B7:M7)</f>
        <v>21052.75</v>
      </c>
    </row>
    <row r="8" spans="1:14" ht="13.15" customHeight="1" x14ac:dyDescent="0.2">
      <c r="A8" s="23" t="s">
        <v>37</v>
      </c>
      <c r="B8" s="24">
        <v>1129.56</v>
      </c>
      <c r="C8" s="24">
        <v>1129.56</v>
      </c>
      <c r="D8" s="15">
        <v>1129.56</v>
      </c>
      <c r="E8" s="15">
        <v>3490</v>
      </c>
      <c r="F8" s="15">
        <v>3490</v>
      </c>
      <c r="G8" s="15">
        <v>3490</v>
      </c>
      <c r="H8" s="15">
        <v>3490</v>
      </c>
      <c r="I8" s="15">
        <v>1129.56</v>
      </c>
      <c r="J8" s="15">
        <v>3180</v>
      </c>
      <c r="K8" s="15">
        <v>4400</v>
      </c>
      <c r="L8" s="15">
        <v>4800</v>
      </c>
      <c r="M8" s="15">
        <v>5120</v>
      </c>
      <c r="N8" s="34">
        <f>+SUM(B8:M8)</f>
        <v>35978.240000000005</v>
      </c>
    </row>
    <row r="9" spans="1:14" ht="13.15" customHeight="1" x14ac:dyDescent="0.2">
      <c r="A9" s="2"/>
      <c r="B9" s="24"/>
      <c r="C9" s="24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 ht="16.5" customHeight="1" x14ac:dyDescent="0.2">
      <c r="A10" s="30" t="s">
        <v>21</v>
      </c>
      <c r="B10" s="31">
        <f>SUM(B5:B9)</f>
        <v>4591.3799999999992</v>
      </c>
      <c r="C10" s="31">
        <f>SUM(C5:C9)</f>
        <v>4591.3799999999992</v>
      </c>
      <c r="D10" s="31">
        <f>+SUM(D5:D9)</f>
        <v>4591.16</v>
      </c>
      <c r="E10" s="31">
        <f t="shared" ref="E10:M10" si="0">SUM(E5:E9)</f>
        <v>7245.65</v>
      </c>
      <c r="F10" s="31">
        <f t="shared" si="0"/>
        <v>7786.82</v>
      </c>
      <c r="G10" s="31">
        <f t="shared" si="0"/>
        <v>8287.7799999999988</v>
      </c>
      <c r="H10" s="31">
        <f t="shared" si="0"/>
        <v>8495.6899999999987</v>
      </c>
      <c r="I10" s="31">
        <f t="shared" si="0"/>
        <v>6483.42</v>
      </c>
      <c r="J10" s="31">
        <f t="shared" si="0"/>
        <v>9013.86</v>
      </c>
      <c r="K10" s="31">
        <f t="shared" si="0"/>
        <v>10700.73</v>
      </c>
      <c r="L10" s="31">
        <f t="shared" si="0"/>
        <v>12315.2</v>
      </c>
      <c r="M10" s="31">
        <f t="shared" si="0"/>
        <v>12635.2</v>
      </c>
      <c r="N10" s="31">
        <f>SUM(B10:M10)</f>
        <v>96738.26999999999</v>
      </c>
    </row>
    <row r="11" spans="1:14" ht="33.75" customHeight="1" x14ac:dyDescent="0.2">
      <c r="A11" s="39" t="s">
        <v>49</v>
      </c>
      <c r="B11" s="24"/>
      <c r="C11" s="24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3"/>
    </row>
    <row r="12" spans="1:14" ht="13.15" customHeight="1" x14ac:dyDescent="0.2">
      <c r="A12" s="4" t="s">
        <v>12</v>
      </c>
      <c r="B12" s="24">
        <v>11223.23</v>
      </c>
      <c r="C12" s="24"/>
      <c r="D12" s="15"/>
      <c r="E12" s="24">
        <v>11223.23</v>
      </c>
      <c r="F12" s="15"/>
      <c r="G12" s="15"/>
      <c r="H12" s="24">
        <v>11223.23</v>
      </c>
      <c r="I12" s="15"/>
      <c r="J12" s="15"/>
      <c r="K12" s="24">
        <v>11223.23</v>
      </c>
      <c r="L12" s="15"/>
      <c r="M12" s="15"/>
      <c r="N12" s="15">
        <f t="shared" ref="N12:N18" si="1">SUM(B12:M12)</f>
        <v>44892.92</v>
      </c>
    </row>
    <row r="13" spans="1:14" ht="13.15" customHeight="1" x14ac:dyDescent="0.2">
      <c r="A13" s="4" t="s">
        <v>14</v>
      </c>
      <c r="B13" s="24">
        <v>250</v>
      </c>
      <c r="C13" s="24">
        <v>250</v>
      </c>
      <c r="D13" s="24">
        <v>250</v>
      </c>
      <c r="E13" s="24">
        <v>250</v>
      </c>
      <c r="F13" s="24">
        <v>250</v>
      </c>
      <c r="G13" s="24">
        <v>250</v>
      </c>
      <c r="H13" s="24">
        <v>250</v>
      </c>
      <c r="I13" s="24">
        <v>250</v>
      </c>
      <c r="J13" s="24">
        <v>250</v>
      </c>
      <c r="K13" s="24">
        <v>250</v>
      </c>
      <c r="L13" s="24">
        <v>250</v>
      </c>
      <c r="M13" s="24">
        <v>250</v>
      </c>
      <c r="N13" s="15">
        <f t="shared" si="1"/>
        <v>3000</v>
      </c>
    </row>
    <row r="14" spans="1:14" ht="13.15" customHeight="1" x14ac:dyDescent="0.2">
      <c r="A14" s="4" t="s">
        <v>15</v>
      </c>
      <c r="B14" s="24">
        <f>'1'!$B66/3</f>
        <v>333.33333333333331</v>
      </c>
      <c r="C14" s="28" t="s">
        <v>43</v>
      </c>
      <c r="D14" s="15"/>
      <c r="E14" s="15">
        <f>'1'!$B66/3</f>
        <v>333.33333333333331</v>
      </c>
      <c r="F14" s="15"/>
      <c r="G14" s="15"/>
      <c r="H14" s="15">
        <f>'1'!$B66/3</f>
        <v>333.33333333333331</v>
      </c>
      <c r="I14" s="15"/>
      <c r="J14" s="15"/>
      <c r="K14" s="15">
        <f>'1'!$B66/3</f>
        <v>333.33333333333331</v>
      </c>
      <c r="L14" s="15"/>
      <c r="M14" s="15"/>
      <c r="N14" s="15">
        <f t="shared" si="1"/>
        <v>1333.3333333333333</v>
      </c>
    </row>
    <row r="15" spans="1:14" ht="13.15" customHeight="1" x14ac:dyDescent="0.2">
      <c r="A15" s="22" t="s">
        <v>39</v>
      </c>
      <c r="B15" s="24">
        <v>180.64</v>
      </c>
      <c r="C15" s="24"/>
      <c r="D15" s="24">
        <v>180.64</v>
      </c>
      <c r="E15" s="15"/>
      <c r="F15" s="24">
        <v>180.64</v>
      </c>
      <c r="G15" s="15"/>
      <c r="H15" s="24">
        <v>180.64</v>
      </c>
      <c r="I15" s="15"/>
      <c r="J15" s="24">
        <v>180.64</v>
      </c>
      <c r="K15" s="15"/>
      <c r="L15" s="24">
        <v>180.64</v>
      </c>
      <c r="M15" s="15"/>
      <c r="N15" s="15">
        <f t="shared" si="1"/>
        <v>1083.8399999999999</v>
      </c>
    </row>
    <row r="16" spans="1:14" ht="27.75" customHeight="1" x14ac:dyDescent="0.2">
      <c r="A16" s="29" t="s">
        <v>42</v>
      </c>
      <c r="B16" s="24">
        <v>481.67</v>
      </c>
      <c r="C16" s="24">
        <v>481.67</v>
      </c>
      <c r="D16" s="24">
        <v>481.67</v>
      </c>
      <c r="E16" s="15">
        <v>300</v>
      </c>
      <c r="F16" s="15">
        <v>300</v>
      </c>
      <c r="G16" s="15">
        <v>300</v>
      </c>
      <c r="H16" s="15">
        <v>714.16</v>
      </c>
      <c r="I16" s="15">
        <v>300</v>
      </c>
      <c r="J16" s="15">
        <v>300</v>
      </c>
      <c r="K16" s="15">
        <v>300</v>
      </c>
      <c r="L16" s="15">
        <v>714.16</v>
      </c>
      <c r="M16" s="15">
        <v>300</v>
      </c>
      <c r="N16" s="15">
        <f t="shared" si="1"/>
        <v>4973.33</v>
      </c>
    </row>
    <row r="17" spans="1:14" ht="17.25" customHeight="1" x14ac:dyDescent="0.2">
      <c r="A17" s="22" t="s">
        <v>41</v>
      </c>
      <c r="B17" s="24">
        <v>280</v>
      </c>
      <c r="C17" s="24">
        <v>280</v>
      </c>
      <c r="D17" s="24">
        <v>280</v>
      </c>
      <c r="E17" s="24">
        <v>280</v>
      </c>
      <c r="F17" s="24">
        <v>280</v>
      </c>
      <c r="G17" s="24">
        <v>280</v>
      </c>
      <c r="H17" s="24">
        <v>280</v>
      </c>
      <c r="I17" s="24">
        <v>280</v>
      </c>
      <c r="J17" s="24">
        <v>280</v>
      </c>
      <c r="K17" s="24">
        <v>280</v>
      </c>
      <c r="L17" s="24">
        <v>280</v>
      </c>
      <c r="M17" s="24">
        <v>280</v>
      </c>
      <c r="N17" s="15">
        <f t="shared" si="1"/>
        <v>3360</v>
      </c>
    </row>
    <row r="18" spans="1:14" ht="13.15" customHeight="1" x14ac:dyDescent="0.2">
      <c r="A18" s="4" t="s">
        <v>16</v>
      </c>
      <c r="B18" s="24">
        <v>50</v>
      </c>
      <c r="C18" s="24">
        <v>50</v>
      </c>
      <c r="D18" s="24">
        <v>50</v>
      </c>
      <c r="E18" s="24">
        <v>50</v>
      </c>
      <c r="F18" s="24">
        <v>50</v>
      </c>
      <c r="G18" s="24">
        <v>50</v>
      </c>
      <c r="H18" s="24">
        <v>50</v>
      </c>
      <c r="I18" s="24">
        <v>50</v>
      </c>
      <c r="J18" s="24">
        <v>50</v>
      </c>
      <c r="K18" s="24">
        <v>50</v>
      </c>
      <c r="L18" s="24">
        <v>50</v>
      </c>
      <c r="M18" s="24">
        <v>50</v>
      </c>
      <c r="N18" s="15">
        <f t="shared" si="1"/>
        <v>600</v>
      </c>
    </row>
    <row r="19" spans="1:14" ht="13.15" customHeight="1" x14ac:dyDescent="0.2">
      <c r="A19" s="23" t="s">
        <v>40</v>
      </c>
      <c r="B19" s="24">
        <v>237.5</v>
      </c>
      <c r="C19" s="24">
        <v>237.5</v>
      </c>
      <c r="D19" s="24">
        <v>237.5</v>
      </c>
      <c r="E19" s="24">
        <v>237.5</v>
      </c>
      <c r="F19" s="24">
        <v>237.5</v>
      </c>
      <c r="G19" s="24">
        <v>237.5</v>
      </c>
      <c r="H19" s="24">
        <v>237.5</v>
      </c>
      <c r="I19" s="24"/>
      <c r="J19" s="24"/>
      <c r="K19" s="24"/>
      <c r="L19" s="24"/>
      <c r="M19" s="24"/>
      <c r="N19" s="15">
        <f>+SUM(B19:M19)</f>
        <v>1662.5</v>
      </c>
    </row>
    <row r="20" spans="1:14" ht="13.15" customHeight="1" x14ac:dyDescent="0.2">
      <c r="A20" s="2"/>
      <c r="B20" s="24"/>
      <c r="C20" s="2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3"/>
    </row>
    <row r="21" spans="1:14" ht="13.15" customHeight="1" x14ac:dyDescent="0.2">
      <c r="A21" s="22" t="s">
        <v>44</v>
      </c>
      <c r="B21" s="24">
        <v>1818</v>
      </c>
      <c r="C21" s="24">
        <v>1818</v>
      </c>
      <c r="D21" s="24">
        <v>1818</v>
      </c>
      <c r="E21" s="24">
        <v>1818</v>
      </c>
      <c r="F21" s="24">
        <v>1818</v>
      </c>
      <c r="G21" s="24">
        <v>1818</v>
      </c>
      <c r="H21" s="24">
        <v>1818</v>
      </c>
      <c r="I21" s="24">
        <v>1818</v>
      </c>
      <c r="J21" s="24">
        <v>1818</v>
      </c>
      <c r="K21" s="24">
        <v>1818</v>
      </c>
      <c r="L21" s="24">
        <v>1818</v>
      </c>
      <c r="M21" s="24">
        <v>1818</v>
      </c>
      <c r="N21" s="15">
        <f>SUM(B21:M21)</f>
        <v>21816</v>
      </c>
    </row>
    <row r="22" spans="1:14" ht="13.15" customHeight="1" x14ac:dyDescent="0.2">
      <c r="A22" s="22" t="s">
        <v>45</v>
      </c>
      <c r="B22" s="24"/>
      <c r="C22" s="24"/>
      <c r="D22" s="15"/>
      <c r="E22" s="15"/>
      <c r="F22" s="15"/>
      <c r="G22" s="15"/>
      <c r="H22" s="15"/>
      <c r="I22" s="15"/>
      <c r="J22" s="15"/>
      <c r="K22" s="15"/>
      <c r="L22" s="15">
        <v>1819</v>
      </c>
      <c r="M22" s="15">
        <v>1819</v>
      </c>
      <c r="N22" s="15">
        <f>SUM(B22:M22)</f>
        <v>3638</v>
      </c>
    </row>
    <row r="23" spans="1:14" ht="13.15" customHeight="1" x14ac:dyDescent="0.2">
      <c r="A23" s="22" t="s">
        <v>46</v>
      </c>
      <c r="B23" s="24"/>
      <c r="C23" s="24"/>
      <c r="D23" s="15"/>
      <c r="E23" s="15">
        <v>543</v>
      </c>
      <c r="F23" s="15">
        <v>543</v>
      </c>
      <c r="G23" s="15">
        <v>543</v>
      </c>
      <c r="H23" s="15"/>
      <c r="I23" s="15"/>
      <c r="J23" s="15"/>
      <c r="K23" s="15"/>
      <c r="L23" s="15"/>
      <c r="M23" s="15"/>
      <c r="N23" s="15">
        <f>SUM(B23:M23)</f>
        <v>1629</v>
      </c>
    </row>
    <row r="24" spans="1:14" ht="13.15" customHeight="1" x14ac:dyDescent="0.2">
      <c r="A24" s="2"/>
      <c r="B24" s="24"/>
      <c r="C24" s="2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3"/>
    </row>
    <row r="25" spans="1:14" ht="13.15" customHeight="1" x14ac:dyDescent="0.2">
      <c r="A25" s="4" t="s">
        <v>22</v>
      </c>
      <c r="B25" s="24">
        <f t="shared" ref="B25:M25" si="2">SUM(B21:B24)</f>
        <v>1818</v>
      </c>
      <c r="C25" s="24">
        <f t="shared" si="2"/>
        <v>1818</v>
      </c>
      <c r="D25" s="15">
        <f t="shared" si="2"/>
        <v>1818</v>
      </c>
      <c r="E25" s="15">
        <f t="shared" si="2"/>
        <v>2361</v>
      </c>
      <c r="F25" s="15">
        <f t="shared" si="2"/>
        <v>2361</v>
      </c>
      <c r="G25" s="15">
        <f t="shared" si="2"/>
        <v>2361</v>
      </c>
      <c r="H25" s="15">
        <f t="shared" si="2"/>
        <v>1818</v>
      </c>
      <c r="I25" s="15">
        <f t="shared" si="2"/>
        <v>1818</v>
      </c>
      <c r="J25" s="15">
        <f t="shared" si="2"/>
        <v>1818</v>
      </c>
      <c r="K25" s="15">
        <f t="shared" si="2"/>
        <v>1818</v>
      </c>
      <c r="L25" s="15">
        <f t="shared" si="2"/>
        <v>3637</v>
      </c>
      <c r="M25" s="15">
        <f t="shared" si="2"/>
        <v>3637</v>
      </c>
      <c r="N25" s="15">
        <f>SUM(B25:M25)</f>
        <v>27083</v>
      </c>
    </row>
    <row r="26" spans="1:14" ht="13.15" customHeight="1" x14ac:dyDescent="0.2">
      <c r="A26" s="2"/>
      <c r="B26" s="24"/>
      <c r="C26" s="24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3"/>
    </row>
    <row r="27" spans="1:14" ht="13.15" customHeight="1" x14ac:dyDescent="0.2">
      <c r="A27" s="4" t="s">
        <v>18</v>
      </c>
      <c r="B27" s="24">
        <f>B25*0.6</f>
        <v>1090.8</v>
      </c>
      <c r="C27" s="24">
        <f>C25*0.6</f>
        <v>1090.8</v>
      </c>
      <c r="D27" s="15">
        <f>D25*0.6</f>
        <v>1090.8</v>
      </c>
      <c r="E27" s="15">
        <f>E21*0.6</f>
        <v>1090.8</v>
      </c>
      <c r="F27" s="15">
        <f>F21*0.6</f>
        <v>1090.8</v>
      </c>
      <c r="G27" s="15">
        <f>G21*0.6</f>
        <v>1090.8</v>
      </c>
      <c r="H27" s="15">
        <f t="shared" ref="H27:M27" si="3">H25*0.6</f>
        <v>1090.8</v>
      </c>
      <c r="I27" s="15">
        <f t="shared" si="3"/>
        <v>1090.8</v>
      </c>
      <c r="J27" s="15">
        <f t="shared" si="3"/>
        <v>1090.8</v>
      </c>
      <c r="K27" s="15">
        <f t="shared" si="3"/>
        <v>1090.8</v>
      </c>
      <c r="L27" s="15">
        <f t="shared" si="3"/>
        <v>2182.1999999999998</v>
      </c>
      <c r="M27" s="15">
        <f t="shared" si="3"/>
        <v>2182.1999999999998</v>
      </c>
      <c r="N27" s="15">
        <f>SUM(B27:M27)</f>
        <v>15272.399999999998</v>
      </c>
    </row>
    <row r="28" spans="1:14" ht="13.15" customHeight="1" x14ac:dyDescent="0.2">
      <c r="A28" s="2"/>
      <c r="B28" s="24"/>
      <c r="C28" s="2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3"/>
    </row>
    <row r="29" spans="1:14" ht="13.15" customHeight="1" x14ac:dyDescent="0.2">
      <c r="A29" s="4" t="s">
        <v>17</v>
      </c>
      <c r="B29" s="24">
        <v>833.33333333333337</v>
      </c>
      <c r="C29" s="24">
        <v>833.33333333333337</v>
      </c>
      <c r="D29" s="15">
        <v>833.33333333333337</v>
      </c>
      <c r="E29" s="15">
        <v>833.33333333333337</v>
      </c>
      <c r="F29" s="15">
        <v>833.33333333333337</v>
      </c>
      <c r="G29" s="15">
        <v>833.33333333333337</v>
      </c>
      <c r="H29" s="15">
        <v>833.33333333333337</v>
      </c>
      <c r="I29" s="15">
        <v>833.33333333333337</v>
      </c>
      <c r="J29" s="15">
        <v>833.33333333333337</v>
      </c>
      <c r="K29" s="15">
        <v>833.33333333333337</v>
      </c>
      <c r="L29" s="15">
        <v>833.33333333333337</v>
      </c>
      <c r="M29" s="15">
        <v>833.33333333333337</v>
      </c>
      <c r="N29" s="15">
        <f>SUM(B29:M29)</f>
        <v>10000</v>
      </c>
    </row>
    <row r="30" spans="1:14" ht="13.15" customHeight="1" x14ac:dyDescent="0.2">
      <c r="A30" s="23"/>
      <c r="B30" s="24"/>
      <c r="C30" s="24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ht="13.15" customHeight="1" x14ac:dyDescent="0.2">
      <c r="A31" s="4" t="s">
        <v>23</v>
      </c>
      <c r="B31" s="24">
        <v>25</v>
      </c>
      <c r="C31" s="24">
        <v>25</v>
      </c>
      <c r="D31" s="24">
        <v>25</v>
      </c>
      <c r="E31" s="24">
        <v>25</v>
      </c>
      <c r="F31" s="24">
        <v>25</v>
      </c>
      <c r="G31" s="24">
        <v>25</v>
      </c>
      <c r="H31" s="24">
        <v>25</v>
      </c>
      <c r="I31" s="24">
        <v>25</v>
      </c>
      <c r="J31" s="24">
        <v>25</v>
      </c>
      <c r="K31" s="24">
        <v>25</v>
      </c>
      <c r="L31" s="24">
        <v>25</v>
      </c>
      <c r="M31" s="24">
        <v>25</v>
      </c>
      <c r="N31" s="15">
        <f>SUM(B31:M31)</f>
        <v>300</v>
      </c>
    </row>
    <row r="32" spans="1:14" ht="13.15" customHeight="1" x14ac:dyDescent="0.2">
      <c r="A32" s="4" t="s">
        <v>24</v>
      </c>
      <c r="B32" s="24">
        <v>859.92</v>
      </c>
      <c r="C32" s="24">
        <v>859.92</v>
      </c>
      <c r="D32" s="24">
        <v>859.92</v>
      </c>
      <c r="E32" s="15">
        <v>1271.92</v>
      </c>
      <c r="F32" s="15">
        <v>1271.92</v>
      </c>
      <c r="G32" s="15">
        <v>1271.92</v>
      </c>
      <c r="H32" s="15">
        <v>1271.92</v>
      </c>
      <c r="I32" s="15">
        <v>1271.92</v>
      </c>
      <c r="J32" s="15">
        <v>1271.92</v>
      </c>
      <c r="K32" s="15">
        <v>1271.92</v>
      </c>
      <c r="L32" s="15">
        <v>1271.92</v>
      </c>
      <c r="M32" s="15">
        <v>1271.92</v>
      </c>
      <c r="N32" s="15">
        <f>SUM(B32:M32)</f>
        <v>14027.04</v>
      </c>
    </row>
    <row r="33" spans="1:14" ht="13.15" customHeight="1" x14ac:dyDescent="0.2">
      <c r="A33" s="2"/>
      <c r="B33" s="24"/>
      <c r="C33" s="24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3"/>
    </row>
    <row r="34" spans="1:14" ht="13.15" customHeight="1" x14ac:dyDescent="0.2">
      <c r="A34" s="4" t="s">
        <v>25</v>
      </c>
      <c r="B34" s="24">
        <v>666.66</v>
      </c>
      <c r="C34" s="24">
        <v>666.66</v>
      </c>
      <c r="D34" s="24">
        <v>666.66</v>
      </c>
      <c r="E34" s="24">
        <v>666.66</v>
      </c>
      <c r="F34" s="24">
        <v>666.66</v>
      </c>
      <c r="G34" s="24">
        <v>666.66</v>
      </c>
      <c r="H34" s="24">
        <v>666.66</v>
      </c>
      <c r="I34" s="24">
        <v>666.66</v>
      </c>
      <c r="J34" s="24">
        <v>666.66</v>
      </c>
      <c r="K34" s="24">
        <v>666.66</v>
      </c>
      <c r="L34" s="24">
        <v>666.66</v>
      </c>
      <c r="M34" s="24">
        <v>666.66</v>
      </c>
      <c r="N34" s="15">
        <f>SUM(B34:M34)</f>
        <v>7999.9199999999992</v>
      </c>
    </row>
    <row r="35" spans="1:14" ht="13.15" customHeight="1" x14ac:dyDescent="0.2">
      <c r="A35" s="4" t="s">
        <v>26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15">
        <f>SUM(B35:M35)</f>
        <v>0</v>
      </c>
    </row>
    <row r="36" spans="1:14" ht="13.15" customHeight="1" x14ac:dyDescent="0.2">
      <c r="A36" s="2"/>
      <c r="B36" s="24"/>
      <c r="C36" s="24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3"/>
    </row>
    <row r="37" spans="1:14" ht="13.15" customHeight="1" x14ac:dyDescent="0.2">
      <c r="A37" s="4" t="s">
        <v>27</v>
      </c>
      <c r="B37" s="24">
        <f t="shared" ref="B37:N37" si="4">SUM(B12:B35)-B25</f>
        <v>18330.086666666662</v>
      </c>
      <c r="C37" s="24">
        <f t="shared" si="4"/>
        <v>6592.8833333333332</v>
      </c>
      <c r="D37" s="15">
        <f t="shared" si="4"/>
        <v>6773.5233333333326</v>
      </c>
      <c r="E37" s="15">
        <f t="shared" si="4"/>
        <v>18922.776666666661</v>
      </c>
      <c r="F37" s="15">
        <f t="shared" si="4"/>
        <v>7546.8533333333326</v>
      </c>
      <c r="G37" s="15">
        <f t="shared" si="4"/>
        <v>7366.2133333333331</v>
      </c>
      <c r="H37" s="15">
        <f t="shared" si="4"/>
        <v>18974.576666666664</v>
      </c>
      <c r="I37" s="15">
        <f t="shared" si="4"/>
        <v>6585.7133333333331</v>
      </c>
      <c r="J37" s="15">
        <f t="shared" si="4"/>
        <v>6766.3533333333326</v>
      </c>
      <c r="K37" s="15">
        <f t="shared" si="4"/>
        <v>18142.276666666668</v>
      </c>
      <c r="L37" s="15">
        <f t="shared" si="4"/>
        <v>10090.913333333334</v>
      </c>
      <c r="M37" s="15">
        <f t="shared" si="4"/>
        <v>9496.1133333333346</v>
      </c>
      <c r="N37" s="15">
        <f t="shared" si="4"/>
        <v>135588.28333333335</v>
      </c>
    </row>
    <row r="38" spans="1:14" ht="13.15" customHeight="1" x14ac:dyDescent="0.2">
      <c r="A38" s="2"/>
      <c r="B38" s="24"/>
      <c r="C38" s="24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3"/>
    </row>
    <row r="39" spans="1:14" ht="13.15" customHeight="1" x14ac:dyDescent="0.2">
      <c r="A39" s="4" t="s">
        <v>28</v>
      </c>
      <c r="B39" s="24">
        <f t="shared" ref="B39:N39" si="5">B10-B37</f>
        <v>-13738.706666666663</v>
      </c>
      <c r="C39" s="24">
        <f t="shared" si="5"/>
        <v>-2001.503333333334</v>
      </c>
      <c r="D39" s="15">
        <f t="shared" si="5"/>
        <v>-2182.3633333333328</v>
      </c>
      <c r="E39" s="15">
        <f t="shared" si="5"/>
        <v>-11677.126666666662</v>
      </c>
      <c r="F39" s="15">
        <f t="shared" si="5"/>
        <v>239.96666666666715</v>
      </c>
      <c r="G39" s="15">
        <f t="shared" si="5"/>
        <v>921.5666666666657</v>
      </c>
      <c r="H39" s="15">
        <f t="shared" si="5"/>
        <v>-10478.886666666665</v>
      </c>
      <c r="I39" s="15">
        <f t="shared" si="5"/>
        <v>-102.29333333333307</v>
      </c>
      <c r="J39" s="15">
        <f t="shared" si="5"/>
        <v>2247.506666666668</v>
      </c>
      <c r="K39" s="15">
        <f t="shared" si="5"/>
        <v>-7441.5466666666689</v>
      </c>
      <c r="L39" s="15">
        <f t="shared" si="5"/>
        <v>2224.2866666666669</v>
      </c>
      <c r="M39" s="15">
        <f t="shared" si="5"/>
        <v>3139.0866666666661</v>
      </c>
      <c r="N39" s="15">
        <f t="shared" si="5"/>
        <v>-38850.013333333365</v>
      </c>
    </row>
    <row r="40" spans="1:14" ht="13.15" customHeight="1" x14ac:dyDescent="0.2">
      <c r="A40" s="4" t="s">
        <v>29</v>
      </c>
      <c r="B40" s="24">
        <f>B39</f>
        <v>-13738.706666666663</v>
      </c>
      <c r="C40" s="24">
        <f t="shared" ref="C40:M40" si="6">C39+B40</f>
        <v>-15740.209999999997</v>
      </c>
      <c r="D40" s="15">
        <f t="shared" si="6"/>
        <v>-17922.57333333333</v>
      </c>
      <c r="E40" s="15">
        <f t="shared" si="6"/>
        <v>-29599.69999999999</v>
      </c>
      <c r="F40" s="15">
        <f t="shared" si="6"/>
        <v>-29359.733333333323</v>
      </c>
      <c r="G40" s="15">
        <f t="shared" si="6"/>
        <v>-28438.166666666657</v>
      </c>
      <c r="H40" s="15">
        <f t="shared" si="6"/>
        <v>-38917.053333333322</v>
      </c>
      <c r="I40" s="15">
        <f t="shared" si="6"/>
        <v>-39019.346666666657</v>
      </c>
      <c r="J40" s="15">
        <f t="shared" si="6"/>
        <v>-36771.839999999989</v>
      </c>
      <c r="K40" s="15">
        <f t="shared" si="6"/>
        <v>-44213.386666666658</v>
      </c>
      <c r="L40" s="15">
        <f t="shared" si="6"/>
        <v>-41989.099999999991</v>
      </c>
      <c r="M40" s="15">
        <f t="shared" si="6"/>
        <v>-38850.013333333321</v>
      </c>
      <c r="N40" s="15"/>
    </row>
    <row r="41" spans="1:14" ht="13.15" customHeight="1" x14ac:dyDescent="0.2">
      <c r="A41" s="2"/>
      <c r="B41" s="24"/>
      <c r="C41" s="24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3"/>
    </row>
    <row r="42" spans="1:14" ht="13.15" customHeight="1" x14ac:dyDescent="0.2">
      <c r="A42" s="2"/>
      <c r="B42" s="24"/>
      <c r="C42" s="24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3"/>
    </row>
    <row r="43" spans="1:14" ht="13.15" customHeight="1" x14ac:dyDescent="0.2">
      <c r="A43" s="2"/>
      <c r="B43" s="24"/>
      <c r="C43" s="24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3"/>
    </row>
    <row r="44" spans="1:14" ht="13.15" customHeight="1" x14ac:dyDescent="0.2">
      <c r="A44" s="2"/>
      <c r="B44" s="24"/>
      <c r="C44" s="24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3"/>
    </row>
    <row r="45" spans="1:14" ht="13.15" customHeight="1" x14ac:dyDescent="0.2">
      <c r="A45" s="2"/>
      <c r="B45" s="24"/>
      <c r="C45" s="24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3"/>
    </row>
    <row r="46" spans="1:14" ht="13.15" customHeight="1" x14ac:dyDescent="0.2">
      <c r="A46" s="2"/>
      <c r="B46" s="24"/>
      <c r="C46" s="24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3"/>
    </row>
    <row r="47" spans="1:14" ht="13.15" customHeight="1" x14ac:dyDescent="0.2">
      <c r="A47" s="2"/>
      <c r="B47" s="24"/>
      <c r="C47" s="24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3"/>
    </row>
    <row r="48" spans="1:14" ht="13.15" customHeight="1" x14ac:dyDescent="0.2">
      <c r="A48" s="2"/>
      <c r="B48" s="24"/>
      <c r="C48" s="24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3"/>
    </row>
    <row r="49" spans="1:14" ht="13.15" customHeight="1" x14ac:dyDescent="0.2">
      <c r="A49" s="2"/>
      <c r="B49" s="24"/>
      <c r="C49" s="24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3"/>
    </row>
    <row r="50" spans="1:14" ht="13.15" customHeight="1" x14ac:dyDescent="0.2">
      <c r="A50" s="2"/>
      <c r="B50" s="24"/>
      <c r="C50" s="24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3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ignoredErrors>
    <ignoredError sqref="D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showGridLines="0" topLeftCell="E1" zoomScale="85" zoomScaleNormal="85" workbookViewId="0">
      <selection activeCell="J28" sqref="J28"/>
    </sheetView>
  </sheetViews>
  <sheetFormatPr baseColWidth="10" defaultColWidth="10.85546875" defaultRowHeight="13.15" customHeight="1" x14ac:dyDescent="0.2"/>
  <cols>
    <col min="1" max="1" width="26.140625" style="19" customWidth="1"/>
    <col min="2" max="14" width="11.42578125" style="19" customWidth="1"/>
    <col min="15" max="256" width="10.85546875" style="19" customWidth="1"/>
  </cols>
  <sheetData>
    <row r="1" spans="1:14" ht="13.7" customHeight="1" x14ac:dyDescent="0.2">
      <c r="A1" s="2"/>
      <c r="B1" s="43" t="s">
        <v>8</v>
      </c>
      <c r="C1" s="43" t="s">
        <v>9</v>
      </c>
      <c r="D1" s="43" t="s">
        <v>10</v>
      </c>
      <c r="E1" s="43" t="s">
        <v>11</v>
      </c>
      <c r="F1" s="43" t="s">
        <v>0</v>
      </c>
      <c r="G1" s="43" t="s">
        <v>1</v>
      </c>
      <c r="H1" s="43" t="s">
        <v>2</v>
      </c>
      <c r="I1" s="43" t="s">
        <v>3</v>
      </c>
      <c r="J1" s="43" t="s">
        <v>4</v>
      </c>
      <c r="K1" s="43" t="s">
        <v>5</v>
      </c>
      <c r="L1" s="43" t="s">
        <v>6</v>
      </c>
      <c r="M1" s="43" t="s">
        <v>7</v>
      </c>
      <c r="N1" s="7" t="s">
        <v>19</v>
      </c>
    </row>
    <row r="2" spans="1:14" ht="13.7" customHeight="1" x14ac:dyDescent="0.2">
      <c r="A2" s="2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6"/>
    </row>
    <row r="3" spans="1:14" ht="13.7" customHeight="1" x14ac:dyDescent="0.2">
      <c r="A3" s="17" t="s">
        <v>31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3.7" customHeight="1" x14ac:dyDescent="0.2">
      <c r="A4" s="22" t="s">
        <v>35</v>
      </c>
      <c r="B4" s="24">
        <f>971*0.2</f>
        <v>194.20000000000002</v>
      </c>
      <c r="C4" s="24">
        <f>971*0.2</f>
        <v>194.20000000000002</v>
      </c>
      <c r="D4" s="15">
        <f>970.78*0.2</f>
        <v>194.15600000000001</v>
      </c>
      <c r="E4" s="15">
        <f>1166.66*0.2</f>
        <v>233.33200000000002</v>
      </c>
      <c r="F4" s="15">
        <f>+' Budget de Trésorerie.'!F4*0.2</f>
        <v>275</v>
      </c>
      <c r="G4" s="15">
        <f>+' Budget de Trésorerie.'!G4*0.2</f>
        <v>166.66600000000003</v>
      </c>
      <c r="H4" s="15">
        <f>+' Budget de Trésorerie.'!H4*0.2</f>
        <v>305.60000000000002</v>
      </c>
      <c r="I4" s="15">
        <f>+' Budget de Trésorerie.'!I4*0.2</f>
        <v>211.60000000000002</v>
      </c>
      <c r="J4" s="15">
        <f>+' Budget de Trésorerie.'!J4*0.2</f>
        <v>270</v>
      </c>
      <c r="K4" s="15">
        <f>+' Budget de Trésorerie.'!K4*0.2</f>
        <v>156.60000000000002</v>
      </c>
      <c r="L4" s="15">
        <f>+' Budget de Trésorerie.'!L4*0.2</f>
        <v>64</v>
      </c>
      <c r="M4" s="15">
        <f>+' Budget de Trésorerie.'!M4*0.2</f>
        <v>43.332000000000001</v>
      </c>
      <c r="N4" s="15">
        <f>SUM(B4:M4)</f>
        <v>2308.6859999999997</v>
      </c>
    </row>
    <row r="5" spans="1:14" ht="13.7" customHeight="1" x14ac:dyDescent="0.2">
      <c r="A5" s="23" t="s">
        <v>38</v>
      </c>
      <c r="B5" s="24">
        <f t="shared" ref="B5:E5" si="0">1674.16*0.2</f>
        <v>334.83200000000005</v>
      </c>
      <c r="C5" s="24">
        <f t="shared" si="0"/>
        <v>334.83200000000005</v>
      </c>
      <c r="D5" s="15">
        <f t="shared" si="0"/>
        <v>334.83200000000005</v>
      </c>
      <c r="E5" s="15">
        <f t="shared" si="0"/>
        <v>334.83200000000005</v>
      </c>
      <c r="F5" s="15">
        <f>+' Budget de Trésorerie.'!E5*0.2</f>
        <v>353</v>
      </c>
      <c r="G5" s="15">
        <f>+' Budget de Trésorerie.'!F5*0.2</f>
        <v>133.4</v>
      </c>
      <c r="H5" s="15">
        <f>+' Budget de Trésorerie.'!G5*0.2</f>
        <v>66.600000000000009</v>
      </c>
      <c r="I5" s="15">
        <f>+' Budget de Trésorerie.'!H5*0.2</f>
        <v>553</v>
      </c>
      <c r="J5" s="15">
        <f>+' Budget de Trésorerie.'!I5*0.2</f>
        <v>176.60000000000002</v>
      </c>
      <c r="K5" s="15">
        <f>+' Budget de Trésorerie.'!J5*0.2</f>
        <v>200</v>
      </c>
      <c r="L5" s="15">
        <f>+' Budget de Trésorerie.'!K5*0.2</f>
        <v>309.8</v>
      </c>
      <c r="M5" s="15">
        <f>+' Budget de Trésorerie.'!L5*0.2</f>
        <v>309.8</v>
      </c>
      <c r="N5" s="15">
        <f>SUM(B5:M5)</f>
        <v>3441.5280000000007</v>
      </c>
    </row>
    <row r="6" spans="1:14" ht="13.7" customHeight="1" x14ac:dyDescent="0.2">
      <c r="A6" s="22" t="s">
        <v>36</v>
      </c>
      <c r="B6" s="24">
        <f>816.66*0.2</f>
        <v>163.33199999999999</v>
      </c>
      <c r="C6" s="24">
        <f>816.66*0.2</f>
        <v>163.33199999999999</v>
      </c>
      <c r="D6" s="15">
        <f>816.66*0.2</f>
        <v>163.33199999999999</v>
      </c>
      <c r="E6" s="15">
        <f>914.83*0.2</f>
        <v>182.96600000000001</v>
      </c>
      <c r="F6" s="15">
        <f>+' Budget de Trésorerie.'!F6*0.2</f>
        <v>1372</v>
      </c>
      <c r="G6" s="15">
        <f>+' Budget de Trésorerie.'!G6*0.2</f>
        <v>392</v>
      </c>
      <c r="H6" s="15">
        <f>+' Budget de Trésorerie.'!H6*0.2</f>
        <v>686</v>
      </c>
      <c r="I6" s="15">
        <f>+' Budget de Trésorerie.'!I6*0.2</f>
        <v>294</v>
      </c>
      <c r="J6" s="15">
        <f>+' Budget de Trésorerie.'!J6*0.2</f>
        <v>686</v>
      </c>
      <c r="K6" s="15">
        <f>+' Budget de Trésorerie.'!K6*0.2</f>
        <v>490</v>
      </c>
      <c r="L6" s="15">
        <f>+' Budget de Trésorerie.'!L6*0.2</f>
        <v>0</v>
      </c>
      <c r="M6" s="15">
        <f>+' Budget de Trésorerie.'!M6*0.2</f>
        <v>98</v>
      </c>
      <c r="N6" s="15">
        <f>SUM(B6:M6)</f>
        <v>4690.9619999999995</v>
      </c>
    </row>
    <row r="7" spans="1:14" ht="13.7" customHeight="1" x14ac:dyDescent="0.2">
      <c r="A7" s="23" t="s">
        <v>37</v>
      </c>
      <c r="B7" s="24">
        <f>1129.56*0.2</f>
        <v>225.91200000000001</v>
      </c>
      <c r="C7" s="24">
        <f>1129.56*0.2</f>
        <v>225.91200000000001</v>
      </c>
      <c r="D7" s="15">
        <f>3775*0.2</f>
        <v>755</v>
      </c>
      <c r="E7" s="15">
        <f>3490*0.2</f>
        <v>698</v>
      </c>
      <c r="F7" s="15">
        <f>3490*0.2</f>
        <v>698</v>
      </c>
      <c r="G7" s="15">
        <f t="shared" ref="G7:M7" si="1">3490*0.2</f>
        <v>698</v>
      </c>
      <c r="H7" s="15">
        <f t="shared" si="1"/>
        <v>698</v>
      </c>
      <c r="I7" s="15">
        <f t="shared" si="1"/>
        <v>698</v>
      </c>
      <c r="J7" s="15">
        <f t="shared" si="1"/>
        <v>698</v>
      </c>
      <c r="K7" s="15">
        <f t="shared" si="1"/>
        <v>698</v>
      </c>
      <c r="L7" s="15">
        <f t="shared" si="1"/>
        <v>698</v>
      </c>
      <c r="M7" s="15">
        <f t="shared" si="1"/>
        <v>698</v>
      </c>
      <c r="N7" s="15">
        <f>SUM(B7:M7)</f>
        <v>7488.8240000000005</v>
      </c>
    </row>
    <row r="8" spans="1:14" ht="13.7" customHeight="1" x14ac:dyDescent="0.2">
      <c r="A8" s="2"/>
      <c r="B8" s="24"/>
      <c r="C8" s="24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 ht="13.7" customHeight="1" x14ac:dyDescent="0.2">
      <c r="A9" s="32" t="s">
        <v>32</v>
      </c>
      <c r="B9" s="31">
        <f>SUM(B4:B8)</f>
        <v>918.27600000000007</v>
      </c>
      <c r="C9" s="31">
        <f>SUM(C4:C8)</f>
        <v>918.27600000000007</v>
      </c>
      <c r="D9" s="31">
        <f>+SUM(D4:D8)</f>
        <v>1447.3200000000002</v>
      </c>
      <c r="E9" s="31">
        <f t="shared" ref="E9:M9" si="2">SUM(E4:E8)</f>
        <v>1449.13</v>
      </c>
      <c r="F9" s="31">
        <f t="shared" si="2"/>
        <v>2698</v>
      </c>
      <c r="G9" s="31">
        <f t="shared" si="2"/>
        <v>1390.066</v>
      </c>
      <c r="H9" s="31">
        <f t="shared" si="2"/>
        <v>1756.2</v>
      </c>
      <c r="I9" s="31">
        <f t="shared" si="2"/>
        <v>1756.6</v>
      </c>
      <c r="J9" s="31">
        <f t="shared" si="2"/>
        <v>1830.6</v>
      </c>
      <c r="K9" s="31">
        <f t="shared" si="2"/>
        <v>1544.6</v>
      </c>
      <c r="L9" s="31">
        <f t="shared" si="2"/>
        <v>1071.8</v>
      </c>
      <c r="M9" s="31">
        <f t="shared" si="2"/>
        <v>1149.1320000000001</v>
      </c>
      <c r="N9" s="31">
        <f>SUM(B9:M9)</f>
        <v>17930.000000000004</v>
      </c>
    </row>
    <row r="10" spans="1:14" ht="13.7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3.7" customHeight="1" x14ac:dyDescent="0.2">
      <c r="A11" s="4" t="s">
        <v>14</v>
      </c>
      <c r="B11" s="44">
        <f>+' Budget de Trésorerie.'!B15*0.2</f>
        <v>0</v>
      </c>
      <c r="C11" s="44">
        <f>+' Budget de Trésorerie.'!C15*0.2</f>
        <v>0</v>
      </c>
      <c r="D11" s="44">
        <f>+' Budget de Trésorerie.'!D15*0.2</f>
        <v>0</v>
      </c>
      <c r="E11" s="44">
        <f>+' Budget de Trésorerie.'!E15*0.2</f>
        <v>0</v>
      </c>
      <c r="F11" s="44">
        <f>+' Budget de Trésorerie.'!F15*0.2</f>
        <v>0</v>
      </c>
      <c r="G11" s="44">
        <f>+' Budget de Trésorerie.'!G15*0.2</f>
        <v>0</v>
      </c>
      <c r="H11" s="44">
        <f>+' Budget de Trésorerie.'!H15*0.2</f>
        <v>0</v>
      </c>
      <c r="I11" s="44">
        <f>+' Budget de Trésorerie.'!I15*0.2</f>
        <v>0</v>
      </c>
      <c r="J11" s="44">
        <f>+' Budget de Trésorerie.'!J15*0.2</f>
        <v>0</v>
      </c>
      <c r="K11" s="44">
        <f>+' Budget de Trésorerie.'!K15*0.2</f>
        <v>0</v>
      </c>
      <c r="L11" s="44">
        <f>+' Budget de Trésorerie.'!L15*0.2</f>
        <v>0</v>
      </c>
      <c r="M11" s="44">
        <f>+' Budget de Trésorerie.'!M15*0.2</f>
        <v>55.027999999999999</v>
      </c>
      <c r="N11" s="15">
        <f t="shared" ref="N11:N24" si="3">SUM(B11:M11)</f>
        <v>55.027999999999999</v>
      </c>
    </row>
    <row r="12" spans="1:14" ht="13.7" customHeight="1" x14ac:dyDescent="0.2">
      <c r="A12" s="22" t="s">
        <v>39</v>
      </c>
      <c r="B12" s="24">
        <f>+' Budget de Trésorerie.'!B17*0.2</f>
        <v>0</v>
      </c>
      <c r="C12" s="24">
        <f>+' Budget de Trésorerie.'!C17*0.2</f>
        <v>24.666666666666671</v>
      </c>
      <c r="D12" s="24">
        <f>+' Budget de Trésorerie.'!D17*0.2</f>
        <v>43.324000000000005</v>
      </c>
      <c r="E12" s="24">
        <f>+' Budget de Trésorerie.'!E17*0.2</f>
        <v>42.5</v>
      </c>
      <c r="F12" s="24">
        <f>+' Budget de Trésorerie.'!F17*0.2</f>
        <v>43.324000000000005</v>
      </c>
      <c r="G12" s="24">
        <f>+' Budget de Trésorerie.'!G17*0.2</f>
        <v>47.333333333333343</v>
      </c>
      <c r="H12" s="24">
        <f>+' Budget de Trésorerie.'!H17*0.2</f>
        <v>43.324000000000005</v>
      </c>
      <c r="I12" s="24">
        <f>+' Budget de Trésorerie.'!I17*0.2</f>
        <v>125</v>
      </c>
      <c r="J12" s="24">
        <f>+' Budget de Trésorerie.'!J17*0.2</f>
        <v>0</v>
      </c>
      <c r="K12" s="24">
        <f>+' Budget de Trésorerie.'!K17*0.2</f>
        <v>55.166666666666679</v>
      </c>
      <c r="L12" s="24">
        <f>+' Budget de Trésorerie.'!L17*0.2</f>
        <v>0</v>
      </c>
      <c r="M12" s="24">
        <f>+' Budget de Trésorerie.'!M17*0.2</f>
        <v>49.5</v>
      </c>
      <c r="N12" s="15">
        <f t="shared" si="3"/>
        <v>474.13866666666672</v>
      </c>
    </row>
    <row r="13" spans="1:14" ht="13.7" customHeight="1" x14ac:dyDescent="0.2">
      <c r="A13" s="29" t="s">
        <v>42</v>
      </c>
      <c r="B13" s="24">
        <f>+' Budget de Trésorerie.'!B18*0.2</f>
        <v>96.334000000000003</v>
      </c>
      <c r="C13" s="24">
        <f>+' Budget de Trésorerie.'!C18*0.2</f>
        <v>96.334000000000003</v>
      </c>
      <c r="D13" s="24">
        <f>+' Budget de Trésorerie.'!D18*0.2</f>
        <v>96.334000000000003</v>
      </c>
      <c r="E13" s="24">
        <f>+' Budget de Trésorerie.'!E18*0.2</f>
        <v>60</v>
      </c>
      <c r="F13" s="24">
        <f>+' Budget de Trésorerie.'!F18*0.2</f>
        <v>60</v>
      </c>
      <c r="G13" s="24">
        <f>+' Budget de Trésorerie.'!G18*0.2</f>
        <v>60</v>
      </c>
      <c r="H13" s="24">
        <f>+' Budget de Trésorerie.'!H18*0.2</f>
        <v>142.83199999999999</v>
      </c>
      <c r="I13" s="24">
        <f>+' Budget de Trésorerie.'!I18*0.2</f>
        <v>60</v>
      </c>
      <c r="J13" s="24">
        <f>+' Budget de Trésorerie.'!J18*0.2</f>
        <v>98</v>
      </c>
      <c r="K13" s="24">
        <f>+' Budget de Trésorerie.'!K18*0.2</f>
        <v>98</v>
      </c>
      <c r="L13" s="24">
        <f>+' Budget de Trésorerie.'!L18*0.2</f>
        <v>180.8</v>
      </c>
      <c r="M13" s="24">
        <f>+' Budget de Trésorerie.'!M18*0.2</f>
        <v>98</v>
      </c>
      <c r="N13" s="15">
        <f t="shared" si="3"/>
        <v>1146.634</v>
      </c>
    </row>
    <row r="14" spans="1:14" ht="13.7" customHeight="1" x14ac:dyDescent="0.2">
      <c r="A14" s="22" t="s">
        <v>41</v>
      </c>
      <c r="B14" s="24">
        <f>+' Budget de Trésorerie.'!B19*0.2</f>
        <v>56</v>
      </c>
      <c r="C14" s="24">
        <f>+' Budget de Trésorerie.'!C19*0.2</f>
        <v>56</v>
      </c>
      <c r="D14" s="24">
        <f>+' Budget de Trésorerie.'!D19*0.2</f>
        <v>56</v>
      </c>
      <c r="E14" s="24">
        <f>+' Budget de Trésorerie.'!E19*0.2</f>
        <v>56</v>
      </c>
      <c r="F14" s="24">
        <f>+' Budget de Trésorerie.'!F19*0.2</f>
        <v>56</v>
      </c>
      <c r="G14" s="24">
        <f>+' Budget de Trésorerie.'!G19*0.2</f>
        <v>56</v>
      </c>
      <c r="H14" s="24">
        <f>+' Budget de Trésorerie.'!H19*0.2</f>
        <v>56</v>
      </c>
      <c r="I14" s="24">
        <f>+' Budget de Trésorerie.'!I19*0.2</f>
        <v>166</v>
      </c>
      <c r="J14" s="24">
        <f>+' Budget de Trésorerie.'!J19*0.2</f>
        <v>82</v>
      </c>
      <c r="K14" s="24">
        <f>+' Budget de Trésorerie.'!K19*0.2</f>
        <v>82</v>
      </c>
      <c r="L14" s="24">
        <f>+' Budget de Trésorerie.'!L19*0.2</f>
        <v>82</v>
      </c>
      <c r="M14" s="24">
        <f>+' Budget de Trésorerie.'!M19*0.2</f>
        <v>82</v>
      </c>
      <c r="N14" s="15">
        <f t="shared" si="3"/>
        <v>886</v>
      </c>
    </row>
    <row r="15" spans="1:14" ht="13.7" customHeight="1" x14ac:dyDescent="0.2">
      <c r="A15" s="4" t="s">
        <v>16</v>
      </c>
      <c r="B15" s="24" t="e">
        <f>+' Budget de Trésorerie.'!#REF!*0.2</f>
        <v>#REF!</v>
      </c>
      <c r="C15" s="24" t="e">
        <f>+' Budget de Trésorerie.'!#REF!*0.2</f>
        <v>#REF!</v>
      </c>
      <c r="D15" s="24" t="e">
        <f>+' Budget de Trésorerie.'!#REF!*0.2</f>
        <v>#REF!</v>
      </c>
      <c r="E15" s="24" t="e">
        <f>+' Budget de Trésorerie.'!#REF!*0.2</f>
        <v>#REF!</v>
      </c>
      <c r="F15" s="24" t="e">
        <f>+' Budget de Trésorerie.'!#REF!*0.2</f>
        <v>#REF!</v>
      </c>
      <c r="G15" s="24" t="e">
        <f>+' Budget de Trésorerie.'!#REF!*0.2</f>
        <v>#REF!</v>
      </c>
      <c r="H15" s="24" t="e">
        <f>+' Budget de Trésorerie.'!#REF!*0.2</f>
        <v>#REF!</v>
      </c>
      <c r="I15" s="24" t="e">
        <f>+' Budget de Trésorerie.'!#REF!*0.2</f>
        <v>#REF!</v>
      </c>
      <c r="J15" s="24" t="e">
        <f>+' Budget de Trésorerie.'!#REF!*0.2</f>
        <v>#REF!</v>
      </c>
      <c r="K15" s="24" t="e">
        <f>+' Budget de Trésorerie.'!#REF!*0.2</f>
        <v>#REF!</v>
      </c>
      <c r="L15" s="24" t="e">
        <f>+' Budget de Trésorerie.'!#REF!*0.2</f>
        <v>#REF!</v>
      </c>
      <c r="M15" s="24" t="e">
        <f>+' Budget de Trésorerie.'!#REF!*0.2</f>
        <v>#REF!</v>
      </c>
      <c r="N15" s="15" t="e">
        <f t="shared" si="3"/>
        <v>#REF!</v>
      </c>
    </row>
    <row r="16" spans="1:14" ht="13.7" customHeight="1" x14ac:dyDescent="0.2">
      <c r="A16" s="23" t="s">
        <v>40</v>
      </c>
      <c r="B16" s="24">
        <f>+' Budget de Trésorerie.'!B22*0.2</f>
        <v>0</v>
      </c>
      <c r="C16" s="24">
        <f>+' Budget de Trésorerie.'!C22*0.2</f>
        <v>57.2</v>
      </c>
      <c r="D16" s="24">
        <f>+' Budget de Trésorerie.'!D22*0.2</f>
        <v>57.2</v>
      </c>
      <c r="E16" s="24">
        <f>+' Budget de Trésorerie.'!E22*0.2</f>
        <v>57.2</v>
      </c>
      <c r="F16" s="24">
        <f>+' Budget de Trésorerie.'!F22*0.2</f>
        <v>57.2</v>
      </c>
      <c r="G16" s="24">
        <f>+' Budget de Trésorerie.'!G22*0.2</f>
        <v>57.2</v>
      </c>
      <c r="H16" s="24">
        <f>+' Budget de Trésorerie.'!H22*0.2</f>
        <v>57.2</v>
      </c>
      <c r="I16" s="24">
        <f>+' Budget de Trésorerie.'!I22*0.2</f>
        <v>57.2</v>
      </c>
      <c r="J16" s="24">
        <f>+' Budget de Trésorerie.'!J22*0.2</f>
        <v>57.2</v>
      </c>
      <c r="K16" s="24">
        <f>+' Budget de Trésorerie.'!K22*0.2</f>
        <v>57.2</v>
      </c>
      <c r="L16" s="24">
        <f>+' Budget de Trésorerie.'!L22*0.2</f>
        <v>57.2</v>
      </c>
      <c r="M16" s="24">
        <f>+' Budget de Trésorerie.'!M22*0.2</f>
        <v>57.2</v>
      </c>
      <c r="N16" s="15">
        <f t="shared" si="3"/>
        <v>629.20000000000005</v>
      </c>
    </row>
    <row r="17" spans="1:14" ht="13.7" customHeight="1" x14ac:dyDescent="0.2">
      <c r="A17" s="4" t="s">
        <v>23</v>
      </c>
      <c r="B17" s="24">
        <f>+' Budget de Trésorerie.'!B37*0.2</f>
        <v>0</v>
      </c>
      <c r="C17" s="24">
        <f>+' Budget de Trésorerie.'!C37*0.2</f>
        <v>0</v>
      </c>
      <c r="D17" s="24">
        <f>+' Budget de Trésorerie.'!D37*0.2</f>
        <v>0</v>
      </c>
      <c r="E17" s="24">
        <f>+' Budget de Trésorerie.'!E37*0.2</f>
        <v>0</v>
      </c>
      <c r="F17" s="24">
        <f>+' Budget de Trésorerie.'!F37*0.2</f>
        <v>0</v>
      </c>
      <c r="G17" s="24">
        <f>+' Budget de Trésorerie.'!G37*0.2</f>
        <v>0</v>
      </c>
      <c r="H17" s="24">
        <f>+' Budget de Trésorerie.'!H37*0.2</f>
        <v>0</v>
      </c>
      <c r="I17" s="24">
        <f>+' Budget de Trésorerie.'!I37*0.2</f>
        <v>5</v>
      </c>
      <c r="J17" s="24">
        <f>+' Budget de Trésorerie.'!J37*0.2</f>
        <v>5</v>
      </c>
      <c r="K17" s="24">
        <f>+' Budget de Trésorerie.'!K37*0.2</f>
        <v>5</v>
      </c>
      <c r="L17" s="24">
        <f>+' Budget de Trésorerie.'!L37*0.2</f>
        <v>5</v>
      </c>
      <c r="M17" s="24">
        <f>+' Budget de Trésorerie.'!M37*0.2</f>
        <v>5</v>
      </c>
      <c r="N17" s="15">
        <f t="shared" si="3"/>
        <v>25</v>
      </c>
    </row>
    <row r="18" spans="1:14" ht="13.7" customHeight="1" x14ac:dyDescent="0.2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15">
        <f t="shared" si="3"/>
        <v>0</v>
      </c>
    </row>
    <row r="19" spans="1:14" ht="13.7" customHeight="1" x14ac:dyDescent="0.2">
      <c r="A19" s="18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15">
        <f t="shared" si="3"/>
        <v>0</v>
      </c>
    </row>
    <row r="20" spans="1:14" ht="13.7" customHeight="1" x14ac:dyDescent="0.2">
      <c r="A20" s="4"/>
      <c r="B20" s="2"/>
      <c r="C20" s="2"/>
      <c r="D20" s="2"/>
      <c r="E20" s="2"/>
      <c r="F20" s="2"/>
      <c r="G20" s="5"/>
      <c r="H20" s="2"/>
      <c r="I20" s="2"/>
      <c r="J20" s="2"/>
      <c r="K20" s="2"/>
      <c r="L20" s="2"/>
      <c r="M20" s="2"/>
      <c r="N20" s="15">
        <f t="shared" si="3"/>
        <v>0</v>
      </c>
    </row>
    <row r="21" spans="1:14" ht="13.7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15">
        <f t="shared" si="3"/>
        <v>0</v>
      </c>
    </row>
    <row r="22" spans="1:14" ht="13.7" customHeight="1" x14ac:dyDescent="0.2">
      <c r="A22" s="20" t="s">
        <v>33</v>
      </c>
      <c r="B22" s="21" t="e">
        <f t="shared" ref="B22:M22" si="4">SUM(B12:B20)</f>
        <v>#REF!</v>
      </c>
      <c r="C22" s="21" t="e">
        <f t="shared" si="4"/>
        <v>#REF!</v>
      </c>
      <c r="D22" s="21" t="e">
        <f t="shared" si="4"/>
        <v>#REF!</v>
      </c>
      <c r="E22" s="21" t="e">
        <f t="shared" si="4"/>
        <v>#REF!</v>
      </c>
      <c r="F22" s="21" t="e">
        <f t="shared" si="4"/>
        <v>#REF!</v>
      </c>
      <c r="G22" s="21" t="e">
        <f t="shared" si="4"/>
        <v>#REF!</v>
      </c>
      <c r="H22" s="21" t="e">
        <f t="shared" si="4"/>
        <v>#REF!</v>
      </c>
      <c r="I22" s="21" t="e">
        <f t="shared" si="4"/>
        <v>#REF!</v>
      </c>
      <c r="J22" s="21" t="e">
        <f t="shared" si="4"/>
        <v>#REF!</v>
      </c>
      <c r="K22" s="21" t="e">
        <f t="shared" si="4"/>
        <v>#REF!</v>
      </c>
      <c r="L22" s="21" t="e">
        <f t="shared" si="4"/>
        <v>#REF!</v>
      </c>
      <c r="M22" s="21" t="e">
        <f t="shared" si="4"/>
        <v>#REF!</v>
      </c>
      <c r="N22" s="15" t="e">
        <f t="shared" si="3"/>
        <v>#REF!</v>
      </c>
    </row>
    <row r="23" spans="1:14" ht="13.7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15">
        <f t="shared" si="3"/>
        <v>0</v>
      </c>
    </row>
    <row r="24" spans="1:14" ht="13.7" customHeight="1" x14ac:dyDescent="0.2">
      <c r="A24" s="4" t="s">
        <v>34</v>
      </c>
      <c r="B24" s="5" t="e">
        <f>B9-B22</f>
        <v>#REF!</v>
      </c>
      <c r="C24" s="5" t="e">
        <f>C9-C22</f>
        <v>#REF!</v>
      </c>
      <c r="D24" s="5" t="e">
        <f>D9-D22</f>
        <v>#REF!</v>
      </c>
      <c r="E24" s="5" t="e">
        <f>E9-E22</f>
        <v>#REF!</v>
      </c>
      <c r="F24" s="5" t="e">
        <f>F9-F22</f>
        <v>#REF!</v>
      </c>
      <c r="G24" s="5" t="e">
        <f>+G9-G22</f>
        <v>#REF!</v>
      </c>
      <c r="H24" s="5" t="e">
        <f>+H9-H22</f>
        <v>#REF!</v>
      </c>
      <c r="I24" s="5" t="e">
        <f>+I9-I22</f>
        <v>#REF!</v>
      </c>
      <c r="J24" s="5" t="e">
        <f>J9-J22</f>
        <v>#REF!</v>
      </c>
      <c r="K24" s="5" t="e">
        <f>K9-K22</f>
        <v>#REF!</v>
      </c>
      <c r="L24" s="5" t="e">
        <f>L9-L22</f>
        <v>#REF!</v>
      </c>
      <c r="M24" s="5" t="e">
        <f>M9-M22</f>
        <v>#REF!</v>
      </c>
      <c r="N24" s="15" t="e">
        <f t="shared" si="3"/>
        <v>#REF!</v>
      </c>
    </row>
  </sheetData>
  <pageMargins left="0.7" right="0.7" top="0.75" bottom="0.75" header="0.3" footer="0.3"/>
  <pageSetup orientation="landscape"/>
  <headerFooter>
    <oddFooter>&amp;C&amp;"Helvetica,Regular"&amp;12&amp;K000000&amp;P</oddFooter>
  </headerFooter>
  <ignoredErrors>
    <ignoredError sqref="D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58"/>
  <sheetViews>
    <sheetView topLeftCell="C1" zoomScale="82" zoomScaleNormal="82" workbookViewId="0">
      <selection activeCell="S11" sqref="S11"/>
    </sheetView>
  </sheetViews>
  <sheetFormatPr baseColWidth="10" defaultColWidth="10.85546875" defaultRowHeight="13.15" customHeight="1" x14ac:dyDescent="0.2"/>
  <cols>
    <col min="1" max="1" width="32.28515625" style="19" customWidth="1"/>
    <col min="2" max="2" width="12" style="27" customWidth="1"/>
    <col min="3" max="3" width="10.85546875" style="27" customWidth="1"/>
    <col min="4" max="4" width="12.140625" style="19" customWidth="1"/>
    <col min="5" max="13" width="10.85546875" style="19" customWidth="1"/>
    <col min="14" max="14" width="15.28515625" style="36" customWidth="1"/>
    <col min="15" max="15" width="14.7109375" style="19" customWidth="1"/>
    <col min="16" max="16" width="23.85546875" style="19" customWidth="1"/>
    <col min="17" max="18" width="11.85546875" style="19" customWidth="1"/>
    <col min="19" max="257" width="10.85546875" style="19" customWidth="1"/>
  </cols>
  <sheetData>
    <row r="1" spans="1:19" ht="13.15" customHeight="1" x14ac:dyDescent="0.2">
      <c r="A1" s="2"/>
      <c r="B1" s="25"/>
      <c r="C1" s="25"/>
      <c r="D1" s="13"/>
      <c r="E1" s="13"/>
      <c r="F1" s="13"/>
      <c r="G1" s="13"/>
      <c r="H1" s="13"/>
      <c r="I1" s="13"/>
      <c r="J1" s="13"/>
      <c r="K1" s="13"/>
      <c r="L1" s="13"/>
      <c r="M1" s="13"/>
      <c r="N1" s="33"/>
    </row>
    <row r="2" spans="1:19" ht="13.15" customHeight="1" x14ac:dyDescent="0.2">
      <c r="A2" s="2"/>
      <c r="B2" s="58" t="s">
        <v>50</v>
      </c>
      <c r="C2" s="58" t="s">
        <v>51</v>
      </c>
      <c r="D2" s="58" t="s">
        <v>52</v>
      </c>
      <c r="E2" s="58" t="s">
        <v>53</v>
      </c>
      <c r="F2" s="58" t="s">
        <v>54</v>
      </c>
      <c r="G2" s="58" t="s">
        <v>55</v>
      </c>
      <c r="H2" s="58" t="s">
        <v>56</v>
      </c>
      <c r="I2" s="58" t="s">
        <v>57</v>
      </c>
      <c r="J2" s="58" t="s">
        <v>58</v>
      </c>
      <c r="K2" s="58" t="s">
        <v>59</v>
      </c>
      <c r="L2" s="58" t="s">
        <v>60</v>
      </c>
      <c r="M2" s="58" t="s">
        <v>61</v>
      </c>
      <c r="N2" s="65" t="s">
        <v>19</v>
      </c>
      <c r="O2" s="71" t="s">
        <v>107</v>
      </c>
    </row>
    <row r="3" spans="1:19" ht="13.15" customHeight="1" x14ac:dyDescent="0.2">
      <c r="A3" s="6" t="s">
        <v>20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66"/>
    </row>
    <row r="4" spans="1:19" ht="13.15" customHeight="1" x14ac:dyDescent="0.2">
      <c r="A4" s="22" t="s">
        <v>35</v>
      </c>
      <c r="B4" s="31">
        <v>433.33</v>
      </c>
      <c r="C4" s="31">
        <v>1025</v>
      </c>
      <c r="D4" s="31">
        <v>1420</v>
      </c>
      <c r="E4" s="31">
        <v>1208.33</v>
      </c>
      <c r="F4" s="31">
        <v>1375</v>
      </c>
      <c r="G4" s="31">
        <v>833.33</v>
      </c>
      <c r="H4" s="31">
        <v>1528</v>
      </c>
      <c r="I4" s="31">
        <v>1058</v>
      </c>
      <c r="J4" s="31">
        <v>1350</v>
      </c>
      <c r="K4" s="31">
        <v>783</v>
      </c>
      <c r="L4" s="31">
        <v>320</v>
      </c>
      <c r="M4" s="31">
        <v>216.66</v>
      </c>
      <c r="N4" s="35">
        <f>+SUM(B4:M4)</f>
        <v>11550.65</v>
      </c>
      <c r="O4" s="126">
        <v>11554</v>
      </c>
      <c r="P4" s="130"/>
      <c r="Q4" s="128"/>
      <c r="R4" s="128"/>
      <c r="S4" s="128"/>
    </row>
    <row r="5" spans="1:19" ht="13.15" customHeight="1" x14ac:dyDescent="0.2">
      <c r="A5" s="23" t="s">
        <v>38</v>
      </c>
      <c r="B5" s="31">
        <v>883</v>
      </c>
      <c r="C5" s="31">
        <v>883</v>
      </c>
      <c r="D5" s="31">
        <v>883</v>
      </c>
      <c r="E5" s="31">
        <v>1765</v>
      </c>
      <c r="F5" s="31">
        <v>667</v>
      </c>
      <c r="G5" s="31">
        <v>333</v>
      </c>
      <c r="H5" s="31">
        <v>2765</v>
      </c>
      <c r="I5" s="31">
        <v>883</v>
      </c>
      <c r="J5" s="31">
        <v>1000</v>
      </c>
      <c r="K5" s="31">
        <v>1549</v>
      </c>
      <c r="L5" s="31">
        <v>1549</v>
      </c>
      <c r="M5" s="31">
        <v>1549</v>
      </c>
      <c r="N5" s="35">
        <f>+SUM(B5:M5)</f>
        <v>14709</v>
      </c>
      <c r="O5" s="127">
        <v>15918</v>
      </c>
      <c r="P5" s="130"/>
      <c r="Q5" s="129"/>
      <c r="R5" s="129"/>
      <c r="S5" s="129"/>
    </row>
    <row r="6" spans="1:19" ht="13.15" customHeight="1" x14ac:dyDescent="0.2">
      <c r="A6" s="40" t="s">
        <v>104</v>
      </c>
      <c r="B6" s="59" t="s">
        <v>106</v>
      </c>
      <c r="C6" s="31" t="s">
        <v>106</v>
      </c>
      <c r="D6" s="31" t="s">
        <v>106</v>
      </c>
      <c r="E6" s="31" t="s">
        <v>106</v>
      </c>
      <c r="F6" s="31">
        <v>6860</v>
      </c>
      <c r="G6" s="31">
        <v>1960</v>
      </c>
      <c r="H6" s="31">
        <v>3430</v>
      </c>
      <c r="I6" s="31">
        <v>1470</v>
      </c>
      <c r="J6" s="31">
        <v>3430</v>
      </c>
      <c r="K6" s="31">
        <v>2450</v>
      </c>
      <c r="L6" s="31">
        <v>0</v>
      </c>
      <c r="M6" s="31">
        <v>490</v>
      </c>
      <c r="N6" s="35">
        <f>+SUM(B6:M6)</f>
        <v>20090</v>
      </c>
      <c r="O6" s="70">
        <v>20090</v>
      </c>
    </row>
    <row r="7" spans="1:19" ht="13.15" customHeight="1" x14ac:dyDescent="0.2">
      <c r="A7" s="23" t="s">
        <v>37</v>
      </c>
      <c r="B7" s="31">
        <v>3238</v>
      </c>
      <c r="C7" s="31">
        <v>3754</v>
      </c>
      <c r="D7" s="31">
        <v>754</v>
      </c>
      <c r="E7" s="31">
        <v>1046</v>
      </c>
      <c r="F7" s="31">
        <v>4642</v>
      </c>
      <c r="G7" s="31">
        <v>3404</v>
      </c>
      <c r="H7" s="31">
        <v>3146</v>
      </c>
      <c r="I7" s="31">
        <v>3500</v>
      </c>
      <c r="J7" s="31">
        <v>1563</v>
      </c>
      <c r="K7" s="31">
        <v>5110</v>
      </c>
      <c r="L7" s="31">
        <v>3263</v>
      </c>
      <c r="M7" s="31">
        <v>1549</v>
      </c>
      <c r="N7" s="67">
        <f>+SUM(B7:M7)</f>
        <v>34969</v>
      </c>
      <c r="O7" s="70">
        <v>35403</v>
      </c>
    </row>
    <row r="8" spans="1:19" ht="13.15" customHeight="1" x14ac:dyDescent="0.2">
      <c r="A8" s="22" t="s">
        <v>47</v>
      </c>
      <c r="B8" s="6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8">
        <f>+SUM(B8:M8)</f>
        <v>0</v>
      </c>
    </row>
    <row r="9" spans="1:19" ht="13.15" customHeight="1" x14ac:dyDescent="0.2">
      <c r="A9" s="22" t="s">
        <v>48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9"/>
      <c r="O9" s="72">
        <f>SUM(O4:O8)</f>
        <v>82965</v>
      </c>
    </row>
    <row r="10" spans="1:19" ht="13.15" customHeight="1" x14ac:dyDescent="0.2">
      <c r="A10" s="40" t="s">
        <v>94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6"/>
      <c r="P10" s="72">
        <f>+SUM(B4:M4)</f>
        <v>11550.65</v>
      </c>
    </row>
    <row r="12" spans="1:19" ht="13.15" customHeight="1" x14ac:dyDescent="0.2">
      <c r="A12" s="37" t="s">
        <v>21</v>
      </c>
      <c r="B12" s="38">
        <f>SUM(B4:B7)</f>
        <v>4554.33</v>
      </c>
      <c r="C12" s="38">
        <f t="shared" ref="C12:N12" si="0">SUM(C4:C7)</f>
        <v>5662</v>
      </c>
      <c r="D12" s="38">
        <f t="shared" si="0"/>
        <v>3057</v>
      </c>
      <c r="E12" s="38">
        <f t="shared" si="0"/>
        <v>4019.33</v>
      </c>
      <c r="F12" s="38">
        <f t="shared" si="0"/>
        <v>13544</v>
      </c>
      <c r="G12" s="38">
        <f t="shared" si="0"/>
        <v>6530.33</v>
      </c>
      <c r="H12" s="38">
        <f t="shared" si="0"/>
        <v>10869</v>
      </c>
      <c r="I12" s="38">
        <f t="shared" si="0"/>
        <v>6911</v>
      </c>
      <c r="J12" s="38">
        <f t="shared" si="0"/>
        <v>7343</v>
      </c>
      <c r="K12" s="38">
        <f t="shared" si="0"/>
        <v>9892</v>
      </c>
      <c r="L12" s="38">
        <f t="shared" si="0"/>
        <v>5132</v>
      </c>
      <c r="M12" s="38">
        <f t="shared" si="0"/>
        <v>3804.66</v>
      </c>
      <c r="N12" s="38">
        <f t="shared" si="0"/>
        <v>81318.649999999994</v>
      </c>
      <c r="O12" s="99">
        <f>SUM(N12)</f>
        <v>81318.649999999994</v>
      </c>
    </row>
    <row r="13" spans="1:19" ht="13.15" customHeight="1" x14ac:dyDescent="0.2">
      <c r="A13" s="2"/>
      <c r="B13" s="24"/>
      <c r="C13" s="24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02"/>
      <c r="O13" s="103"/>
    </row>
    <row r="14" spans="1:19" ht="13.15" customHeight="1" x14ac:dyDescent="0.2">
      <c r="A14" s="30" t="s">
        <v>12</v>
      </c>
      <c r="B14" s="31">
        <f>+Charges!B3</f>
        <v>0</v>
      </c>
      <c r="C14" s="31">
        <f>+Charges!C3</f>
        <v>9318.32</v>
      </c>
      <c r="D14" s="31">
        <f>+Charges!D3</f>
        <v>0</v>
      </c>
      <c r="E14" s="31">
        <f>+Charges!E3</f>
        <v>0</v>
      </c>
      <c r="F14" s="31">
        <f>+Charges!F3</f>
        <v>11338</v>
      </c>
      <c r="G14" s="31">
        <f>+Charges!G3</f>
        <v>0</v>
      </c>
      <c r="H14" s="31">
        <f>+Charges!H3</f>
        <v>0</v>
      </c>
      <c r="I14" s="31">
        <f>+Charges!I3</f>
        <v>11338</v>
      </c>
      <c r="J14" s="31">
        <f>+Charges!J3</f>
        <v>0</v>
      </c>
      <c r="K14" s="31">
        <f>+Charges!K3</f>
        <v>0</v>
      </c>
      <c r="L14" s="31">
        <f>+Charges!L3</f>
        <v>11338</v>
      </c>
      <c r="M14" s="31">
        <f>+Charges!M3</f>
        <v>0</v>
      </c>
      <c r="N14" s="104">
        <f t="shared" ref="N14:N47" si="1">SUM(B14:M14)</f>
        <v>43332.32</v>
      </c>
      <c r="O14" s="103"/>
    </row>
    <row r="15" spans="1:19" ht="13.15" customHeight="1" x14ac:dyDescent="0.2">
      <c r="A15" s="30" t="s">
        <v>14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>
        <v>275.14</v>
      </c>
      <c r="N15" s="104">
        <f t="shared" si="1"/>
        <v>275.14</v>
      </c>
      <c r="O15" s="75">
        <v>520</v>
      </c>
      <c r="P15" s="73">
        <f>O15/1.2</f>
        <v>433.33333333333337</v>
      </c>
    </row>
    <row r="16" spans="1:19" ht="13.15" customHeight="1" x14ac:dyDescent="0.2">
      <c r="A16" s="74" t="s">
        <v>108</v>
      </c>
      <c r="B16" s="24"/>
      <c r="C16" s="28" t="s">
        <v>43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01"/>
      <c r="O16" s="75">
        <v>1230</v>
      </c>
      <c r="P16" s="73">
        <f t="shared" ref="P16:P29" si="2">O16/1.2</f>
        <v>1025</v>
      </c>
    </row>
    <row r="17" spans="1:16" ht="13.15" customHeight="1" x14ac:dyDescent="0.2">
      <c r="A17" s="64" t="s">
        <v>71</v>
      </c>
      <c r="B17" s="31">
        <f>+Charges!B6</f>
        <v>0</v>
      </c>
      <c r="C17" s="31">
        <f>+Charges!C6</f>
        <v>123.33333333333334</v>
      </c>
      <c r="D17" s="31">
        <f>+Charges!D6</f>
        <v>216.62</v>
      </c>
      <c r="E17" s="31">
        <f>+Charges!E6</f>
        <v>212.5</v>
      </c>
      <c r="F17" s="31">
        <f>+Charges!F6</f>
        <v>216.62</v>
      </c>
      <c r="G17" s="31">
        <f>+Charges!G6</f>
        <v>236.66666666666669</v>
      </c>
      <c r="H17" s="31">
        <f>+Charges!H6</f>
        <v>216.62</v>
      </c>
      <c r="I17" s="31">
        <f>+Charges!I6</f>
        <v>625</v>
      </c>
      <c r="J17" s="31">
        <f>+Charges!J6</f>
        <v>0</v>
      </c>
      <c r="K17" s="31">
        <f>+Charges!K6</f>
        <v>275.83333333333337</v>
      </c>
      <c r="L17" s="31">
        <f>+Charges!L6</f>
        <v>0</v>
      </c>
      <c r="M17" s="31">
        <f>+Charges!M6</f>
        <v>247.5</v>
      </c>
      <c r="N17" s="104">
        <f t="shared" si="1"/>
        <v>2370.6933333333336</v>
      </c>
      <c r="O17" s="75">
        <v>1705</v>
      </c>
      <c r="P17" s="73">
        <f t="shared" si="2"/>
        <v>1420.8333333333335</v>
      </c>
    </row>
    <row r="18" spans="1:16" ht="27.75" customHeight="1" x14ac:dyDescent="0.2">
      <c r="A18" s="42" t="s">
        <v>64</v>
      </c>
      <c r="B18" s="122">
        <v>481.67</v>
      </c>
      <c r="C18" s="122">
        <v>481.67</v>
      </c>
      <c r="D18" s="122">
        <v>481.67</v>
      </c>
      <c r="E18" s="123">
        <v>300</v>
      </c>
      <c r="F18" s="123">
        <v>300</v>
      </c>
      <c r="G18" s="123">
        <v>300</v>
      </c>
      <c r="H18" s="123">
        <v>714.16</v>
      </c>
      <c r="I18" s="123">
        <v>300</v>
      </c>
      <c r="J18" s="123">
        <v>490</v>
      </c>
      <c r="K18" s="123">
        <v>490</v>
      </c>
      <c r="L18" s="123">
        <v>904</v>
      </c>
      <c r="M18" s="123">
        <v>490</v>
      </c>
      <c r="N18" s="110">
        <f t="shared" si="1"/>
        <v>5733.17</v>
      </c>
      <c r="O18" s="76">
        <v>1450</v>
      </c>
      <c r="P18" s="73">
        <f t="shared" si="2"/>
        <v>1208.3333333333335</v>
      </c>
    </row>
    <row r="19" spans="1:16" ht="17.25" customHeight="1" x14ac:dyDescent="0.2">
      <c r="A19" s="120" t="s">
        <v>63</v>
      </c>
      <c r="B19" s="124">
        <f>+Charges!B7</f>
        <v>280</v>
      </c>
      <c r="C19" s="124">
        <f>+Charges!C7</f>
        <v>280</v>
      </c>
      <c r="D19" s="124">
        <f>+Charges!D7</f>
        <v>280</v>
      </c>
      <c r="E19" s="124">
        <f>+Charges!E7</f>
        <v>280</v>
      </c>
      <c r="F19" s="124">
        <f>+Charges!F7</f>
        <v>280</v>
      </c>
      <c r="G19" s="124">
        <f>+Charges!G7</f>
        <v>280</v>
      </c>
      <c r="H19" s="124">
        <f>+Charges!H7</f>
        <v>280</v>
      </c>
      <c r="I19" s="124">
        <f>+Charges!I7</f>
        <v>830</v>
      </c>
      <c r="J19" s="124">
        <f>+Charges!J7</f>
        <v>410</v>
      </c>
      <c r="K19" s="124">
        <f>+Charges!K7</f>
        <v>410</v>
      </c>
      <c r="L19" s="124">
        <f>+Charges!L7</f>
        <v>410</v>
      </c>
      <c r="M19" s="124">
        <f>+Charges!M7</f>
        <v>410</v>
      </c>
      <c r="N19" s="125">
        <f t="shared" si="1"/>
        <v>4430</v>
      </c>
      <c r="O19" s="77">
        <v>1650</v>
      </c>
      <c r="P19" s="73">
        <f t="shared" si="2"/>
        <v>1375</v>
      </c>
    </row>
    <row r="20" spans="1:16" ht="13.15" customHeight="1" x14ac:dyDescent="0.2">
      <c r="A20" s="119" t="s">
        <v>69</v>
      </c>
      <c r="B20" s="91">
        <f>19.99/1.2</f>
        <v>16.658333333333331</v>
      </c>
      <c r="C20" s="91">
        <f t="shared" ref="C20:M20" si="3">19.99/1.2</f>
        <v>16.658333333333331</v>
      </c>
      <c r="D20" s="91">
        <f t="shared" si="3"/>
        <v>16.658333333333331</v>
      </c>
      <c r="E20" s="91">
        <f t="shared" si="3"/>
        <v>16.658333333333331</v>
      </c>
      <c r="F20" s="91">
        <f t="shared" si="3"/>
        <v>16.658333333333331</v>
      </c>
      <c r="G20" s="91">
        <f t="shared" si="3"/>
        <v>16.658333333333331</v>
      </c>
      <c r="H20" s="91">
        <f t="shared" si="3"/>
        <v>16.658333333333331</v>
      </c>
      <c r="I20" s="91">
        <f t="shared" si="3"/>
        <v>16.658333333333331</v>
      </c>
      <c r="J20" s="91">
        <f t="shared" si="3"/>
        <v>16.658333333333331</v>
      </c>
      <c r="K20" s="91">
        <f t="shared" si="3"/>
        <v>16.658333333333331</v>
      </c>
      <c r="L20" s="91">
        <f t="shared" si="3"/>
        <v>16.658333333333331</v>
      </c>
      <c r="M20" s="91">
        <f t="shared" si="3"/>
        <v>16.658333333333331</v>
      </c>
      <c r="N20" s="91">
        <f t="shared" ref="N20:N21" si="4">+SUM(B20:M20)</f>
        <v>199.89999999999998</v>
      </c>
      <c r="O20" s="116">
        <v>1000</v>
      </c>
      <c r="P20" s="73">
        <f t="shared" si="2"/>
        <v>833.33333333333337</v>
      </c>
    </row>
    <row r="21" spans="1:16" ht="13.15" customHeight="1" x14ac:dyDescent="0.2">
      <c r="A21" s="119" t="s">
        <v>70</v>
      </c>
      <c r="B21" s="91">
        <f>40.95/1.2</f>
        <v>34.125000000000007</v>
      </c>
      <c r="C21" s="91">
        <f t="shared" ref="C21:M21" si="5">40.95/1.2</f>
        <v>34.125000000000007</v>
      </c>
      <c r="D21" s="91">
        <f>57.29/1.2</f>
        <v>47.741666666666667</v>
      </c>
      <c r="E21" s="91">
        <f t="shared" si="5"/>
        <v>34.125000000000007</v>
      </c>
      <c r="F21" s="91">
        <f t="shared" si="5"/>
        <v>34.125000000000007</v>
      </c>
      <c r="G21" s="91">
        <f>72.16/1.2</f>
        <v>60.133333333333333</v>
      </c>
      <c r="H21" s="91">
        <f>72.16/1.2</f>
        <v>60.133333333333333</v>
      </c>
      <c r="I21" s="91">
        <f t="shared" si="5"/>
        <v>34.125000000000007</v>
      </c>
      <c r="J21" s="91">
        <f t="shared" si="5"/>
        <v>34.125000000000007</v>
      </c>
      <c r="K21" s="91">
        <f t="shared" si="5"/>
        <v>34.125000000000007</v>
      </c>
      <c r="L21" s="91">
        <f>56.75/1.2</f>
        <v>47.291666666666671</v>
      </c>
      <c r="M21" s="91">
        <f t="shared" si="5"/>
        <v>34.125000000000007</v>
      </c>
      <c r="N21" s="91">
        <f t="shared" si="4"/>
        <v>488.3</v>
      </c>
      <c r="O21" s="116">
        <v>1835</v>
      </c>
      <c r="P21" s="73">
        <f t="shared" si="2"/>
        <v>1529.1666666666667</v>
      </c>
    </row>
    <row r="22" spans="1:16" ht="13.15" customHeight="1" x14ac:dyDescent="0.2">
      <c r="A22" s="121" t="s">
        <v>114</v>
      </c>
      <c r="B22" s="124"/>
      <c r="C22" s="124">
        <v>286</v>
      </c>
      <c r="D22" s="124">
        <v>286</v>
      </c>
      <c r="E22" s="124">
        <v>286</v>
      </c>
      <c r="F22" s="124">
        <v>286</v>
      </c>
      <c r="G22" s="124">
        <v>286</v>
      </c>
      <c r="H22" s="124">
        <v>286</v>
      </c>
      <c r="I22" s="124">
        <v>286</v>
      </c>
      <c r="J22" s="124">
        <v>286</v>
      </c>
      <c r="K22" s="124">
        <v>286</v>
      </c>
      <c r="L22" s="124">
        <v>286</v>
      </c>
      <c r="M22" s="124">
        <v>286</v>
      </c>
      <c r="N22" s="125">
        <f t="shared" si="1"/>
        <v>3146</v>
      </c>
      <c r="O22" s="116">
        <v>1270</v>
      </c>
      <c r="P22" s="73">
        <f t="shared" si="2"/>
        <v>1058.3333333333335</v>
      </c>
    </row>
    <row r="23" spans="1:16" ht="13.15" customHeight="1" x14ac:dyDescent="0.2">
      <c r="A23" s="80" t="s">
        <v>113</v>
      </c>
      <c r="B23" s="117"/>
      <c r="C23" s="117"/>
      <c r="D23" s="117"/>
      <c r="E23" s="117"/>
      <c r="F23" s="117"/>
      <c r="G23" s="117"/>
      <c r="H23" s="117">
        <v>928</v>
      </c>
      <c r="I23" s="117"/>
      <c r="J23" s="117"/>
      <c r="K23" s="117">
        <v>1580</v>
      </c>
      <c r="L23" s="117"/>
      <c r="M23" s="117"/>
      <c r="N23" s="118">
        <f t="shared" si="1"/>
        <v>2508</v>
      </c>
      <c r="O23" s="78"/>
      <c r="P23" s="73"/>
    </row>
    <row r="24" spans="1:16" ht="13.15" customHeight="1" x14ac:dyDescent="0.2">
      <c r="A24" s="64" t="s">
        <v>44</v>
      </c>
      <c r="B24" s="31">
        <v>1415.59</v>
      </c>
      <c r="C24" s="31">
        <v>1415.59</v>
      </c>
      <c r="D24" s="31">
        <v>1415.59</v>
      </c>
      <c r="E24" s="31">
        <v>1415.59</v>
      </c>
      <c r="F24" s="31">
        <v>1415.59</v>
      </c>
      <c r="G24" s="31">
        <v>1415.59</v>
      </c>
      <c r="H24" s="31">
        <v>1415.59</v>
      </c>
      <c r="I24" s="31">
        <v>1415.59</v>
      </c>
      <c r="J24" s="31">
        <v>1415.59</v>
      </c>
      <c r="K24" s="31">
        <v>1415.59</v>
      </c>
      <c r="L24" s="31">
        <v>1415.59</v>
      </c>
      <c r="M24" s="31">
        <v>1415.59</v>
      </c>
      <c r="N24" s="104">
        <f t="shared" si="1"/>
        <v>16987.079999999998</v>
      </c>
      <c r="O24" s="78"/>
      <c r="P24" s="73"/>
    </row>
    <row r="25" spans="1:16" ht="13.15" customHeight="1" x14ac:dyDescent="0.2">
      <c r="A25" s="64" t="s">
        <v>88</v>
      </c>
      <c r="B25" s="113"/>
      <c r="C25" s="113">
        <v>887</v>
      </c>
      <c r="D25" s="113"/>
      <c r="E25" s="113"/>
      <c r="F25" s="113"/>
      <c r="G25" s="113"/>
      <c r="H25" s="113"/>
      <c r="I25" s="114">
        <v>531.92999999999995</v>
      </c>
      <c r="J25" s="114"/>
      <c r="K25" s="114"/>
      <c r="L25" s="114"/>
      <c r="M25" s="114">
        <v>531.92999999999995</v>
      </c>
      <c r="N25" s="104">
        <f t="shared" si="1"/>
        <v>1950.8599999999997</v>
      </c>
      <c r="O25" s="78">
        <v>1620</v>
      </c>
      <c r="P25" s="73">
        <f t="shared" si="2"/>
        <v>1350</v>
      </c>
    </row>
    <row r="26" spans="1:16" ht="13.15" customHeight="1" x14ac:dyDescent="0.2">
      <c r="A26" s="64" t="s">
        <v>121</v>
      </c>
      <c r="B26" s="113"/>
      <c r="C26" s="113"/>
      <c r="D26" s="113">
        <f>1404</f>
        <v>1404</v>
      </c>
      <c r="E26" s="113">
        <v>2216</v>
      </c>
      <c r="F26" s="113"/>
      <c r="G26" s="113">
        <f>690</f>
        <v>690</v>
      </c>
      <c r="H26" s="113">
        <f>690</f>
        <v>690</v>
      </c>
      <c r="I26" s="113">
        <f>690</f>
        <v>690</v>
      </c>
      <c r="J26" s="113">
        <f>690</f>
        <v>690</v>
      </c>
      <c r="K26" s="113">
        <f>690</f>
        <v>690</v>
      </c>
      <c r="L26" s="113">
        <f>690</f>
        <v>690</v>
      </c>
      <c r="M26" s="113">
        <f>690</f>
        <v>690</v>
      </c>
      <c r="N26" s="104">
        <f t="shared" si="1"/>
        <v>8450</v>
      </c>
      <c r="O26" s="78">
        <v>940</v>
      </c>
      <c r="P26" s="73">
        <f t="shared" si="2"/>
        <v>783.33333333333337</v>
      </c>
    </row>
    <row r="27" spans="1:16" ht="13.15" customHeight="1" x14ac:dyDescent="0.2">
      <c r="A27" s="32" t="s">
        <v>46</v>
      </c>
      <c r="B27" s="31"/>
      <c r="C27" s="31"/>
      <c r="D27" s="31"/>
      <c r="E27" s="63"/>
      <c r="F27" s="63"/>
      <c r="G27" s="31"/>
      <c r="H27" s="31"/>
      <c r="I27" s="31"/>
      <c r="J27" s="31">
        <v>549</v>
      </c>
      <c r="K27" s="31">
        <v>549</v>
      </c>
      <c r="L27" s="31"/>
      <c r="M27" s="31"/>
      <c r="N27" s="104">
        <f t="shared" si="1"/>
        <v>1098</v>
      </c>
      <c r="O27" s="78">
        <v>385</v>
      </c>
      <c r="P27" s="73">
        <f t="shared" si="2"/>
        <v>320.83333333333337</v>
      </c>
    </row>
    <row r="28" spans="1:16" ht="13.15" customHeight="1" x14ac:dyDescent="0.2">
      <c r="A28" s="49" t="s">
        <v>98</v>
      </c>
      <c r="B28" s="104">
        <f>+Charges!B32</f>
        <v>0</v>
      </c>
      <c r="C28" s="104">
        <f>+Charges!C32</f>
        <v>0</v>
      </c>
      <c r="D28" s="104">
        <f>+Charges!D32</f>
        <v>0</v>
      </c>
      <c r="E28" s="104">
        <f>+Charges!E32</f>
        <v>412</v>
      </c>
      <c r="F28" s="104">
        <f>+Charges!F32</f>
        <v>412</v>
      </c>
      <c r="G28" s="104">
        <f>+Charges!G32</f>
        <v>412</v>
      </c>
      <c r="H28" s="104">
        <f>+Charges!H32</f>
        <v>523.33333333333337</v>
      </c>
      <c r="I28" s="104">
        <f>+Charges!I32</f>
        <v>334.16666666666669</v>
      </c>
      <c r="J28" s="104">
        <f>+Charges!J32</f>
        <v>334.16666666666669</v>
      </c>
      <c r="K28" s="104">
        <f>+Charges!K32</f>
        <v>412</v>
      </c>
      <c r="L28" s="104">
        <f>+Charges!L32</f>
        <v>412</v>
      </c>
      <c r="M28" s="104">
        <f>+Charges!M32</f>
        <v>412</v>
      </c>
      <c r="N28" s="104">
        <f t="shared" si="1"/>
        <v>3663.6666666666665</v>
      </c>
      <c r="O28" s="78">
        <v>260</v>
      </c>
      <c r="P28" s="73">
        <f t="shared" si="2"/>
        <v>216.66666666666669</v>
      </c>
    </row>
    <row r="29" spans="1:16" ht="13.15" customHeight="1" x14ac:dyDescent="0.2">
      <c r="A29" s="49" t="s">
        <v>99</v>
      </c>
      <c r="B29" s="104">
        <f>+Charges!B33</f>
        <v>604.86666666666667</v>
      </c>
      <c r="C29" s="104">
        <f>+Charges!C33</f>
        <v>604.86666666666667</v>
      </c>
      <c r="D29" s="104">
        <f>+Charges!D33</f>
        <v>604.86666666666667</v>
      </c>
      <c r="E29" s="104">
        <f>+Charges!E33</f>
        <v>604.86666666666667</v>
      </c>
      <c r="F29" s="104">
        <f>+Charges!F33</f>
        <v>604.86666666666667</v>
      </c>
      <c r="G29" s="104">
        <f>+Charges!G33</f>
        <v>604.86666666666667</v>
      </c>
      <c r="H29" s="104">
        <f>+Charges!H33</f>
        <v>604.86666666666667</v>
      </c>
      <c r="I29" s="104">
        <f>+Charges!I33</f>
        <v>604.86666666666667</v>
      </c>
      <c r="J29" s="104">
        <f>+Charges!J33</f>
        <v>604.86666666666667</v>
      </c>
      <c r="K29" s="104">
        <f>+Charges!K33</f>
        <v>725.84</v>
      </c>
      <c r="L29" s="104">
        <f>+Charges!L33</f>
        <v>725.84</v>
      </c>
      <c r="M29" s="104">
        <f>+Charges!M33</f>
        <v>725.84</v>
      </c>
      <c r="N29" s="104">
        <f t="shared" si="1"/>
        <v>7621.3200000000006</v>
      </c>
      <c r="O29" s="103">
        <f>SUM(O15:O28)</f>
        <v>13865</v>
      </c>
      <c r="P29" s="73">
        <f t="shared" si="2"/>
        <v>11554.166666666668</v>
      </c>
    </row>
    <row r="30" spans="1:16" ht="13.15" customHeight="1" x14ac:dyDescent="0.2">
      <c r="A30" s="49" t="s">
        <v>100</v>
      </c>
      <c r="B30" s="104">
        <f>+Charges!B34</f>
        <v>29.791666666666668</v>
      </c>
      <c r="C30" s="104">
        <f>+Charges!C34</f>
        <v>29.791666666666668</v>
      </c>
      <c r="D30" s="104">
        <f>+Charges!D34</f>
        <v>29.791666666666668</v>
      </c>
      <c r="E30" s="104">
        <f>+Charges!E34</f>
        <v>29.791666666666668</v>
      </c>
      <c r="F30" s="104">
        <f>+Charges!F34</f>
        <v>29.791666666666668</v>
      </c>
      <c r="G30" s="104">
        <f>+Charges!G34</f>
        <v>29.791666666666668</v>
      </c>
      <c r="H30" s="104">
        <f>+Charges!H34</f>
        <v>29.791666666666668</v>
      </c>
      <c r="I30" s="104">
        <f>+Charges!I34</f>
        <v>29.791666666666668</v>
      </c>
      <c r="J30" s="104">
        <f>+Charges!J34</f>
        <v>29.791666666666668</v>
      </c>
      <c r="K30" s="104">
        <f>+Charges!K34</f>
        <v>29.791666666666668</v>
      </c>
      <c r="L30" s="104">
        <f>+Charges!L34</f>
        <v>29.791666666666668</v>
      </c>
      <c r="M30" s="104">
        <f>+Charges!M34</f>
        <v>29.791666666666668</v>
      </c>
      <c r="N30" s="104">
        <f t="shared" si="1"/>
        <v>357.50000000000006</v>
      </c>
      <c r="O30" s="105">
        <f>O29/1.2</f>
        <v>11554.166666666668</v>
      </c>
    </row>
    <row r="31" spans="1:16" ht="13.15" customHeight="1" x14ac:dyDescent="0.2">
      <c r="A31" s="49" t="s">
        <v>96</v>
      </c>
      <c r="B31" s="104">
        <f>+Charges!B35</f>
        <v>9.65</v>
      </c>
      <c r="C31" s="104">
        <f>+Charges!C35</f>
        <v>9.65</v>
      </c>
      <c r="D31" s="104">
        <f>+Charges!D35</f>
        <v>9.65</v>
      </c>
      <c r="E31" s="104">
        <f>+Charges!E35</f>
        <v>9.65</v>
      </c>
      <c r="F31" s="104">
        <f>+Charges!F35</f>
        <v>9.65</v>
      </c>
      <c r="G31" s="104">
        <f>+Charges!G35</f>
        <v>9.65</v>
      </c>
      <c r="H31" s="104">
        <f>+Charges!H35</f>
        <v>9.65</v>
      </c>
      <c r="I31" s="104">
        <f>+Charges!I35</f>
        <v>9.65</v>
      </c>
      <c r="J31" s="104">
        <f>+Charges!J35</f>
        <v>9.65</v>
      </c>
      <c r="K31" s="104">
        <f>+Charges!K35</f>
        <v>9.65</v>
      </c>
      <c r="L31" s="104">
        <f>+Charges!L35</f>
        <v>9.65</v>
      </c>
      <c r="M31" s="104">
        <f>+Charges!M35</f>
        <v>9.65</v>
      </c>
      <c r="N31" s="104">
        <f t="shared" si="1"/>
        <v>115.80000000000003</v>
      </c>
      <c r="O31" s="103"/>
    </row>
    <row r="32" spans="1:16" ht="13.15" customHeight="1" x14ac:dyDescent="0.2">
      <c r="A32" s="49" t="s">
        <v>101</v>
      </c>
      <c r="B32" s="104">
        <f>+Charges!B36</f>
        <v>81.941666666666663</v>
      </c>
      <c r="C32" s="104">
        <f>+Charges!C36</f>
        <v>81.941666666666663</v>
      </c>
      <c r="D32" s="104">
        <f>+Charges!D36</f>
        <v>81.941666666666663</v>
      </c>
      <c r="E32" s="104">
        <f>+Charges!E36</f>
        <v>81.941666666666663</v>
      </c>
      <c r="F32" s="104">
        <f>+Charges!F36</f>
        <v>81.941666666666663</v>
      </c>
      <c r="G32" s="104">
        <f>+Charges!G36</f>
        <v>81.941666666666663</v>
      </c>
      <c r="H32" s="104">
        <f>+Charges!H36</f>
        <v>81.941666666666663</v>
      </c>
      <c r="I32" s="104">
        <f>+Charges!I36</f>
        <v>81.941666666666663</v>
      </c>
      <c r="J32" s="104">
        <f>+Charges!J36</f>
        <v>81.941666666666663</v>
      </c>
      <c r="K32" s="104">
        <f>+Charges!K36</f>
        <v>81.941666666666663</v>
      </c>
      <c r="L32" s="104">
        <f>+Charges!L36</f>
        <v>81.941666666666663</v>
      </c>
      <c r="M32" s="104">
        <f>+Charges!M36</f>
        <v>81.941666666666663</v>
      </c>
      <c r="N32" s="104">
        <f t="shared" si="1"/>
        <v>983.29999999999973</v>
      </c>
      <c r="O32" s="103"/>
    </row>
    <row r="33" spans="1:15" ht="13.15" customHeight="1" x14ac:dyDescent="0.2">
      <c r="A33" s="49" t="s">
        <v>97</v>
      </c>
      <c r="B33" s="104">
        <f>+Charges!B37</f>
        <v>17</v>
      </c>
      <c r="C33" s="104">
        <f>+Charges!C37</f>
        <v>17</v>
      </c>
      <c r="D33" s="104">
        <f>+Charges!D37</f>
        <v>17</v>
      </c>
      <c r="E33" s="104">
        <f>+Charges!E37</f>
        <v>17</v>
      </c>
      <c r="F33" s="104">
        <f>+Charges!F37</f>
        <v>17</v>
      </c>
      <c r="G33" s="104">
        <f>+Charges!G37</f>
        <v>17</v>
      </c>
      <c r="H33" s="104">
        <f>+Charges!H37</f>
        <v>17</v>
      </c>
      <c r="I33" s="104">
        <f>+Charges!I37</f>
        <v>17</v>
      </c>
      <c r="J33" s="104">
        <f>+Charges!J37</f>
        <v>17</v>
      </c>
      <c r="K33" s="104">
        <f>+Charges!K37</f>
        <v>17</v>
      </c>
      <c r="L33" s="104">
        <f>+Charges!L37</f>
        <v>17</v>
      </c>
      <c r="M33" s="104">
        <f>+Charges!M37</f>
        <v>17</v>
      </c>
      <c r="N33" s="104">
        <f t="shared" si="1"/>
        <v>204</v>
      </c>
      <c r="O33" s="103"/>
    </row>
    <row r="34" spans="1:15" ht="13.15" customHeight="1" x14ac:dyDescent="0.2">
      <c r="A34" s="30" t="s">
        <v>18</v>
      </c>
      <c r="B34" s="104">
        <f>+Charges!B11</f>
        <v>0</v>
      </c>
      <c r="C34" s="104">
        <f>+Charges!C11</f>
        <v>0</v>
      </c>
      <c r="D34" s="104">
        <f>+Charges!D11</f>
        <v>1404</v>
      </c>
      <c r="E34" s="104">
        <f>+Charges!E11</f>
        <v>2216</v>
      </c>
      <c r="F34" s="104">
        <f>+Charges!F11</f>
        <v>0</v>
      </c>
      <c r="G34" s="104">
        <f>+Charges!G11</f>
        <v>690</v>
      </c>
      <c r="H34" s="104">
        <f>+Charges!H11</f>
        <v>690</v>
      </c>
      <c r="I34" s="104">
        <f>+Charges!I11</f>
        <v>690</v>
      </c>
      <c r="J34" s="104">
        <f>+Charges!J11</f>
        <v>690</v>
      </c>
      <c r="K34" s="104">
        <f>+Charges!K11</f>
        <v>690</v>
      </c>
      <c r="L34" s="104">
        <f>+Charges!L11</f>
        <v>690</v>
      </c>
      <c r="M34" s="104">
        <f>+Charges!M11</f>
        <v>690</v>
      </c>
      <c r="N34" s="104">
        <f>+Charges!N11</f>
        <v>8450</v>
      </c>
      <c r="O34" s="106" t="s">
        <v>120</v>
      </c>
    </row>
    <row r="35" spans="1:15" ht="13.15" customHeight="1" x14ac:dyDescent="0.2">
      <c r="A35" s="64" t="s">
        <v>88</v>
      </c>
      <c r="B35" s="104"/>
      <c r="C35" s="104"/>
      <c r="D35" s="104"/>
      <c r="E35" s="104"/>
      <c r="F35" s="104"/>
      <c r="G35" s="104"/>
      <c r="H35" s="104"/>
      <c r="I35" s="104">
        <v>442.5</v>
      </c>
      <c r="J35" s="104"/>
      <c r="K35" s="104"/>
      <c r="L35" s="104"/>
      <c r="M35" s="104">
        <v>442.5</v>
      </c>
      <c r="N35" s="104">
        <f t="shared" si="1"/>
        <v>885</v>
      </c>
      <c r="O35" s="107" t="e">
        <f>SUM(N28:N33)+(N37:N38)</f>
        <v>#VALUE!</v>
      </c>
    </row>
    <row r="36" spans="1:15" ht="13.15" customHeight="1" x14ac:dyDescent="0.2">
      <c r="A36" s="57" t="s">
        <v>17</v>
      </c>
      <c r="B36" s="100">
        <v>0</v>
      </c>
      <c r="C36" s="100">
        <v>0</v>
      </c>
      <c r="D36" s="100">
        <v>0</v>
      </c>
      <c r="E36" s="100">
        <v>0</v>
      </c>
      <c r="F36" s="100">
        <v>0</v>
      </c>
      <c r="G36" s="100">
        <v>0</v>
      </c>
      <c r="H36" s="100">
        <v>0</v>
      </c>
      <c r="I36" s="100">
        <v>0</v>
      </c>
      <c r="J36" s="100">
        <v>0</v>
      </c>
      <c r="K36" s="100">
        <v>0</v>
      </c>
      <c r="L36" s="100">
        <v>0</v>
      </c>
      <c r="M36" s="100">
        <v>0</v>
      </c>
      <c r="N36" s="101">
        <f t="shared" si="1"/>
        <v>0</v>
      </c>
      <c r="O36" s="103"/>
    </row>
    <row r="37" spans="1:15" ht="13.15" customHeight="1" x14ac:dyDescent="0.2">
      <c r="A37" s="4" t="s">
        <v>23</v>
      </c>
      <c r="B37" s="100"/>
      <c r="C37" s="100"/>
      <c r="D37" s="100"/>
      <c r="E37" s="100"/>
      <c r="F37" s="100"/>
      <c r="G37" s="100"/>
      <c r="H37" s="100"/>
      <c r="I37" s="100">
        <v>25</v>
      </c>
      <c r="J37" s="100">
        <v>25</v>
      </c>
      <c r="K37" s="100">
        <v>25</v>
      </c>
      <c r="L37" s="100">
        <v>25</v>
      </c>
      <c r="M37" s="100">
        <v>25</v>
      </c>
      <c r="N37" s="101">
        <f t="shared" si="1"/>
        <v>125</v>
      </c>
      <c r="O37" s="103"/>
    </row>
    <row r="38" spans="1:15" ht="13.15" customHeight="1" x14ac:dyDescent="0.2">
      <c r="A38" s="4" t="s">
        <v>24</v>
      </c>
      <c r="B38" s="100"/>
      <c r="C38" s="100"/>
      <c r="D38" s="100"/>
      <c r="E38" s="100"/>
      <c r="F38" s="100"/>
      <c r="G38" s="100"/>
      <c r="H38" s="100"/>
      <c r="I38" s="100">
        <v>550</v>
      </c>
      <c r="J38" s="100">
        <v>550</v>
      </c>
      <c r="K38" s="100">
        <v>550</v>
      </c>
      <c r="L38" s="100">
        <v>550</v>
      </c>
      <c r="M38" s="100">
        <v>550</v>
      </c>
      <c r="N38" s="101">
        <f t="shared" si="1"/>
        <v>2750</v>
      </c>
      <c r="O38" s="103"/>
    </row>
    <row r="39" spans="1:15" ht="13.15" customHeight="1" x14ac:dyDescent="0.2">
      <c r="A39" s="4" t="s">
        <v>30</v>
      </c>
      <c r="B39" s="108"/>
      <c r="C39" s="108"/>
      <c r="D39" s="108"/>
      <c r="E39" s="109">
        <v>1850</v>
      </c>
      <c r="F39" s="108"/>
      <c r="G39" s="109"/>
      <c r="H39" s="108"/>
      <c r="I39" s="108"/>
      <c r="J39" s="109"/>
      <c r="K39" s="108"/>
      <c r="L39" s="108"/>
      <c r="M39" s="108"/>
      <c r="N39" s="101">
        <f t="shared" si="1"/>
        <v>1850</v>
      </c>
      <c r="O39" s="103"/>
    </row>
    <row r="40" spans="1:15" ht="13.15" customHeight="1" x14ac:dyDescent="0.2">
      <c r="A40" s="4" t="s">
        <v>25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1">
        <f t="shared" si="1"/>
        <v>0</v>
      </c>
      <c r="O40" s="106" t="s">
        <v>122</v>
      </c>
    </row>
    <row r="41" spans="1:15" ht="13.15" customHeight="1" x14ac:dyDescent="0.2">
      <c r="A41" s="4" t="s">
        <v>26</v>
      </c>
      <c r="B41" s="100">
        <v>0</v>
      </c>
      <c r="C41" s="100">
        <v>0</v>
      </c>
      <c r="D41" s="100">
        <v>0</v>
      </c>
      <c r="E41" s="100">
        <v>0</v>
      </c>
      <c r="F41" s="100">
        <v>0</v>
      </c>
      <c r="G41" s="100">
        <v>0</v>
      </c>
      <c r="H41" s="100">
        <v>0</v>
      </c>
      <c r="I41" s="100">
        <v>0</v>
      </c>
      <c r="J41" s="100">
        <v>0</v>
      </c>
      <c r="K41" s="100">
        <v>0</v>
      </c>
      <c r="L41" s="100">
        <v>0</v>
      </c>
      <c r="M41" s="100">
        <v>0</v>
      </c>
      <c r="N41" s="101">
        <f t="shared" si="1"/>
        <v>0</v>
      </c>
      <c r="O41" s="107">
        <f>N51+N52</f>
        <v>22651.14</v>
      </c>
    </row>
    <row r="44" spans="1:15" ht="13.15" customHeight="1" x14ac:dyDescent="0.2">
      <c r="A44" s="41" t="s">
        <v>111</v>
      </c>
      <c r="B44" s="110">
        <f t="shared" ref="B44:N44" si="6">SUM(B14:B41)</f>
        <v>2971.2933333333331</v>
      </c>
      <c r="C44" s="110">
        <f t="shared" si="6"/>
        <v>13585.946666666667</v>
      </c>
      <c r="D44" s="110">
        <f t="shared" si="6"/>
        <v>6295.53</v>
      </c>
      <c r="E44" s="110">
        <f t="shared" si="6"/>
        <v>9982.123333333333</v>
      </c>
      <c r="F44" s="110">
        <f t="shared" si="6"/>
        <v>15042.243333333334</v>
      </c>
      <c r="G44" s="110">
        <f t="shared" si="6"/>
        <v>5130.2983333333332</v>
      </c>
      <c r="H44" s="110">
        <f t="shared" si="6"/>
        <v>6563.7449999999999</v>
      </c>
      <c r="I44" s="110">
        <f t="shared" si="6"/>
        <v>18852.22</v>
      </c>
      <c r="J44" s="110">
        <f t="shared" si="6"/>
        <v>6233.79</v>
      </c>
      <c r="K44" s="110">
        <f t="shared" si="6"/>
        <v>8288.43</v>
      </c>
      <c r="L44" s="110">
        <f t="shared" si="6"/>
        <v>17648.763333333332</v>
      </c>
      <c r="M44" s="110">
        <f t="shared" si="6"/>
        <v>7380.6666666666661</v>
      </c>
      <c r="N44" s="110">
        <f t="shared" si="6"/>
        <v>117975.05000000002</v>
      </c>
      <c r="O44" s="103"/>
    </row>
    <row r="45" spans="1:15" ht="13.15" customHeight="1" x14ac:dyDescent="0.2">
      <c r="A45" s="37" t="s">
        <v>27</v>
      </c>
      <c r="B45" s="98">
        <f t="shared" ref="B45:M45" si="7">SUM(B14:B41)</f>
        <v>2971.2933333333331</v>
      </c>
      <c r="C45" s="98">
        <f t="shared" si="7"/>
        <v>13585.946666666667</v>
      </c>
      <c r="D45" s="98">
        <f t="shared" si="7"/>
        <v>6295.53</v>
      </c>
      <c r="E45" s="98">
        <f t="shared" si="7"/>
        <v>9982.123333333333</v>
      </c>
      <c r="F45" s="98">
        <f t="shared" si="7"/>
        <v>15042.243333333334</v>
      </c>
      <c r="G45" s="98">
        <f t="shared" si="7"/>
        <v>5130.2983333333332</v>
      </c>
      <c r="H45" s="98">
        <f t="shared" si="7"/>
        <v>6563.7449999999999</v>
      </c>
      <c r="I45" s="98">
        <f t="shared" si="7"/>
        <v>18852.22</v>
      </c>
      <c r="J45" s="98">
        <f t="shared" si="7"/>
        <v>6233.79</v>
      </c>
      <c r="K45" s="98">
        <f t="shared" si="7"/>
        <v>8288.43</v>
      </c>
      <c r="L45" s="98">
        <f t="shared" si="7"/>
        <v>17648.763333333332</v>
      </c>
      <c r="M45" s="98">
        <f t="shared" si="7"/>
        <v>7380.6666666666661</v>
      </c>
      <c r="N45" s="111">
        <f t="shared" si="1"/>
        <v>117975.05</v>
      </c>
      <c r="O45" s="103"/>
    </row>
    <row r="46" spans="1:15" ht="13.15" customHeight="1" x14ac:dyDescent="0.2">
      <c r="A46" s="2"/>
      <c r="B46" s="100"/>
      <c r="C46" s="100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12">
        <f t="shared" si="1"/>
        <v>0</v>
      </c>
      <c r="O46" s="103"/>
    </row>
    <row r="47" spans="1:15" ht="13.15" customHeight="1" x14ac:dyDescent="0.2">
      <c r="A47" s="4" t="s">
        <v>28</v>
      </c>
      <c r="B47" s="101">
        <f t="shared" ref="B47:M47" si="8">B12-B44</f>
        <v>1583.0366666666669</v>
      </c>
      <c r="C47" s="101">
        <f t="shared" si="8"/>
        <v>-7923.9466666666667</v>
      </c>
      <c r="D47" s="101">
        <f t="shared" si="8"/>
        <v>-3238.5299999999997</v>
      </c>
      <c r="E47" s="101">
        <f t="shared" si="8"/>
        <v>-5962.7933333333331</v>
      </c>
      <c r="F47" s="101">
        <f t="shared" si="8"/>
        <v>-1498.2433333333338</v>
      </c>
      <c r="G47" s="101">
        <f t="shared" si="8"/>
        <v>1400.0316666666668</v>
      </c>
      <c r="H47" s="101">
        <f t="shared" si="8"/>
        <v>4305.2550000000001</v>
      </c>
      <c r="I47" s="101">
        <f t="shared" si="8"/>
        <v>-11941.220000000001</v>
      </c>
      <c r="J47" s="101">
        <f t="shared" si="8"/>
        <v>1109.21</v>
      </c>
      <c r="K47" s="101">
        <f t="shared" si="8"/>
        <v>1603.5699999999997</v>
      </c>
      <c r="L47" s="101">
        <f t="shared" si="8"/>
        <v>-12516.763333333332</v>
      </c>
      <c r="M47" s="101">
        <f t="shared" si="8"/>
        <v>-3576.0066666666662</v>
      </c>
      <c r="N47" s="101">
        <f t="shared" si="1"/>
        <v>-36656.400000000001</v>
      </c>
    </row>
    <row r="48" spans="1:15" ht="13.15" customHeight="1" x14ac:dyDescent="0.2">
      <c r="A48" s="4" t="s">
        <v>29</v>
      </c>
      <c r="B48" s="100">
        <f>B47</f>
        <v>1583.0366666666669</v>
      </c>
      <c r="C48" s="100">
        <f t="shared" ref="C48:L48" si="9">C47+B48</f>
        <v>-6340.91</v>
      </c>
      <c r="D48" s="101">
        <f t="shared" si="9"/>
        <v>-9579.4399999999987</v>
      </c>
      <c r="E48" s="101">
        <f t="shared" si="9"/>
        <v>-15542.233333333332</v>
      </c>
      <c r="F48" s="101">
        <f t="shared" si="9"/>
        <v>-17040.476666666666</v>
      </c>
      <c r="G48" s="101">
        <f t="shared" si="9"/>
        <v>-15640.445</v>
      </c>
      <c r="H48" s="101">
        <f t="shared" si="9"/>
        <v>-11335.189999999999</v>
      </c>
      <c r="I48" s="101">
        <f t="shared" si="9"/>
        <v>-23276.41</v>
      </c>
      <c r="J48" s="101">
        <f t="shared" si="9"/>
        <v>-22167.200000000001</v>
      </c>
      <c r="K48" s="101">
        <f t="shared" si="9"/>
        <v>-20563.63</v>
      </c>
      <c r="L48" s="101">
        <f t="shared" si="9"/>
        <v>-33080.393333333333</v>
      </c>
      <c r="M48" s="101">
        <f>M47+L48</f>
        <v>-36656.400000000001</v>
      </c>
      <c r="N48" s="101"/>
    </row>
    <row r="49" spans="1:15" ht="13.15" customHeight="1" x14ac:dyDescent="0.2">
      <c r="A49" s="2"/>
      <c r="B49" s="24"/>
      <c r="C49" s="24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33"/>
    </row>
    <row r="50" spans="1:15" ht="13.15" customHeight="1" x14ac:dyDescent="0.2">
      <c r="A50" s="2"/>
      <c r="B50" s="24"/>
      <c r="C50" s="24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33"/>
    </row>
    <row r="51" spans="1:15" ht="13.15" customHeight="1" x14ac:dyDescent="0.2">
      <c r="A51" s="40" t="s">
        <v>112</v>
      </c>
      <c r="B51" s="100"/>
      <c r="C51" s="100"/>
      <c r="D51" s="100"/>
      <c r="E51" s="100">
        <v>5000</v>
      </c>
      <c r="F51" s="100"/>
      <c r="G51" s="100"/>
      <c r="H51" s="100"/>
      <c r="I51" s="100">
        <v>3365</v>
      </c>
      <c r="J51" s="100">
        <v>3364</v>
      </c>
      <c r="K51" s="100"/>
      <c r="L51" s="100"/>
      <c r="M51" s="100">
        <v>275.14</v>
      </c>
      <c r="N51" s="101">
        <f>SUM(B51:M51)</f>
        <v>12004.14</v>
      </c>
      <c r="O51" s="106" t="s">
        <v>109</v>
      </c>
    </row>
    <row r="52" spans="1:15" ht="13.15" customHeight="1" x14ac:dyDescent="0.2">
      <c r="A52" s="64" t="s">
        <v>105</v>
      </c>
      <c r="B52" s="104"/>
      <c r="C52" s="104"/>
      <c r="D52" s="104">
        <v>1130</v>
      </c>
      <c r="E52" s="104">
        <v>127</v>
      </c>
      <c r="F52" s="104">
        <v>781</v>
      </c>
      <c r="G52" s="104">
        <v>793</v>
      </c>
      <c r="H52" s="104">
        <v>1167</v>
      </c>
      <c r="I52" s="104">
        <v>1034</v>
      </c>
      <c r="J52" s="104">
        <v>1389</v>
      </c>
      <c r="K52" s="104">
        <v>2070</v>
      </c>
      <c r="L52" s="104">
        <v>1656</v>
      </c>
      <c r="M52" s="104">
        <v>500</v>
      </c>
      <c r="N52" s="104">
        <f>SUM(B52:M52)</f>
        <v>10647</v>
      </c>
      <c r="O52" s="106" t="s">
        <v>109</v>
      </c>
    </row>
    <row r="53" spans="1:15" ht="13.15" customHeight="1" x14ac:dyDescent="0.2">
      <c r="A53" s="2"/>
      <c r="B53" s="24"/>
      <c r="C53" s="24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34">
        <f>SUM(N51:N52)</f>
        <v>22651.14</v>
      </c>
    </row>
    <row r="54" spans="1:15" ht="13.15" customHeight="1" x14ac:dyDescent="0.2">
      <c r="A54" s="41" t="s">
        <v>62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5">
        <v>55500</v>
      </c>
    </row>
    <row r="55" spans="1:15" ht="13.15" customHeight="1" x14ac:dyDescent="0.2">
      <c r="A55" s="2"/>
      <c r="B55" s="24"/>
      <c r="C55" s="24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33"/>
    </row>
    <row r="56" spans="1:15" ht="13.15" customHeight="1" x14ac:dyDescent="0.2">
      <c r="A56" s="2"/>
      <c r="B56" s="24"/>
      <c r="C56" s="24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33"/>
    </row>
    <row r="57" spans="1:15" ht="13.15" customHeight="1" x14ac:dyDescent="0.2">
      <c r="A57" s="2"/>
      <c r="B57" s="24"/>
      <c r="C57" s="2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33"/>
    </row>
    <row r="58" spans="1:15" ht="13.15" customHeight="1" x14ac:dyDescent="0.2">
      <c r="A58" s="2"/>
      <c r="B58" s="24"/>
      <c r="C58" s="24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33"/>
    </row>
  </sheetData>
  <mergeCells count="1">
    <mergeCell ref="P4:P5"/>
  </mergeCells>
  <pageMargins left="0.7" right="0.7" top="0.75" bottom="0.75" header="0.3" footer="0.3"/>
  <pageSetup paperSize="9" scale="65" orientation="landscape" horizontalDpi="300" verticalDpi="300" r:id="rId1"/>
  <ignoredErrors>
    <ignoredError sqref="N1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8"/>
  <sheetViews>
    <sheetView tabSelected="1" zoomScale="70" zoomScaleNormal="70" workbookViewId="0">
      <selection activeCell="R17" sqref="R17"/>
    </sheetView>
  </sheetViews>
  <sheetFormatPr baseColWidth="10" defaultRowHeight="12.75" x14ac:dyDescent="0.2"/>
  <cols>
    <col min="1" max="1" width="28.28515625" style="47" customWidth="1"/>
    <col min="2" max="3" width="12.140625" style="47" customWidth="1"/>
    <col min="4" max="4" width="11" style="47" customWidth="1"/>
    <col min="5" max="5" width="14.7109375" style="47" customWidth="1"/>
    <col min="6" max="6" width="11.140625" style="47" customWidth="1"/>
    <col min="7" max="7" width="11.5703125" style="47" customWidth="1"/>
    <col min="8" max="8" width="11.42578125" style="47" customWidth="1"/>
    <col min="9" max="9" width="12.140625" style="47" customWidth="1"/>
    <col min="10" max="10" width="14" style="47" customWidth="1"/>
    <col min="11" max="12" width="11.140625" style="47" customWidth="1"/>
    <col min="13" max="13" width="10.5703125" style="47" customWidth="1"/>
    <col min="14" max="14" width="14.42578125" style="47" customWidth="1"/>
    <col min="15" max="15" width="11.85546875" style="47" bestFit="1" customWidth="1"/>
    <col min="16" max="16" width="15.140625" style="47" customWidth="1"/>
    <col min="17" max="17" width="13.85546875" style="47" customWidth="1"/>
    <col min="18" max="16384" width="11.42578125" style="47"/>
  </cols>
  <sheetData>
    <row r="1" spans="1:18" x14ac:dyDescent="0.2">
      <c r="A1" s="45" t="s">
        <v>65</v>
      </c>
      <c r="B1" s="52" t="s">
        <v>8</v>
      </c>
      <c r="C1" s="52" t="s">
        <v>9</v>
      </c>
      <c r="D1" s="52" t="s">
        <v>10</v>
      </c>
      <c r="E1" s="52" t="s">
        <v>11</v>
      </c>
      <c r="F1" s="52" t="s">
        <v>0</v>
      </c>
      <c r="G1" s="52" t="s">
        <v>1</v>
      </c>
      <c r="H1" s="52" t="s">
        <v>2</v>
      </c>
      <c r="I1" s="52" t="s">
        <v>3</v>
      </c>
      <c r="J1" s="52" t="s">
        <v>4</v>
      </c>
      <c r="K1" s="52" t="s">
        <v>5</v>
      </c>
      <c r="L1" s="52" t="s">
        <v>6</v>
      </c>
      <c r="M1" s="52" t="s">
        <v>7</v>
      </c>
      <c r="N1" s="46" t="s">
        <v>66</v>
      </c>
      <c r="P1" s="82" t="s">
        <v>116</v>
      </c>
    </row>
    <row r="2" spans="1:18" x14ac:dyDescent="0.2">
      <c r="A2" s="49" t="s">
        <v>67</v>
      </c>
      <c r="B2" s="91">
        <f>+' Budget de Trésorerie.'!B24</f>
        <v>1415.59</v>
      </c>
      <c r="C2" s="91">
        <f>+' Budget de Trésorerie.'!C24</f>
        <v>1415.59</v>
      </c>
      <c r="D2" s="91">
        <f>+' Budget de Trésorerie.'!D24</f>
        <v>1415.59</v>
      </c>
      <c r="E2" s="91">
        <f>+' Budget de Trésorerie.'!E24</f>
        <v>1415.59</v>
      </c>
      <c r="F2" s="91">
        <f>+' Budget de Trésorerie.'!F24</f>
        <v>1415.59</v>
      </c>
      <c r="G2" s="91">
        <f>+' Budget de Trésorerie.'!G24</f>
        <v>1415.59</v>
      </c>
      <c r="H2" s="91">
        <f>+' Budget de Trésorerie.'!H24</f>
        <v>1415.59</v>
      </c>
      <c r="I2" s="91">
        <f>+' Budget de Trésorerie.'!I24</f>
        <v>1415.59</v>
      </c>
      <c r="J2" s="91">
        <f>+' Budget de Trésorerie.'!J24</f>
        <v>1415.59</v>
      </c>
      <c r="K2" s="91">
        <f>+' Budget de Trésorerie.'!K24</f>
        <v>1415.59</v>
      </c>
      <c r="L2" s="91">
        <f>+' Budget de Trésorerie.'!L24</f>
        <v>1415.59</v>
      </c>
      <c r="M2" s="91">
        <f>+' Budget de Trésorerie.'!M24</f>
        <v>1415.59</v>
      </c>
      <c r="N2" s="91">
        <f t="shared" ref="N2:N7" si="0">+SUM(B2:M2)</f>
        <v>16987.079999999998</v>
      </c>
      <c r="O2" s="55" t="s">
        <v>110</v>
      </c>
      <c r="P2" s="47">
        <v>16987</v>
      </c>
      <c r="R2" s="47">
        <f>+M2*3</f>
        <v>4246.7699999999995</v>
      </c>
    </row>
    <row r="3" spans="1:18" x14ac:dyDescent="0.2">
      <c r="A3" s="49" t="s">
        <v>68</v>
      </c>
      <c r="B3" s="91"/>
      <c r="C3" s="91">
        <v>9318.32</v>
      </c>
      <c r="D3" s="91"/>
      <c r="E3" s="91"/>
      <c r="F3" s="91">
        <v>11338</v>
      </c>
      <c r="G3" s="91"/>
      <c r="H3" s="91"/>
      <c r="I3" s="91">
        <v>11338</v>
      </c>
      <c r="J3" s="91"/>
      <c r="K3" s="91"/>
      <c r="L3" s="91">
        <v>11338</v>
      </c>
      <c r="M3" s="91"/>
      <c r="N3" s="91">
        <f t="shared" si="0"/>
        <v>43332.32</v>
      </c>
    </row>
    <row r="4" spans="1:18" x14ac:dyDescent="0.2">
      <c r="A4" s="49" t="s">
        <v>69</v>
      </c>
      <c r="B4" s="91">
        <f>19.99/1.2</f>
        <v>16.658333333333331</v>
      </c>
      <c r="C4" s="91">
        <f t="shared" ref="C4:M4" si="1">19.99/1.2</f>
        <v>16.658333333333331</v>
      </c>
      <c r="D4" s="91">
        <f t="shared" si="1"/>
        <v>16.658333333333331</v>
      </c>
      <c r="E4" s="91">
        <f t="shared" si="1"/>
        <v>16.658333333333331</v>
      </c>
      <c r="F4" s="91">
        <f t="shared" si="1"/>
        <v>16.658333333333331</v>
      </c>
      <c r="G4" s="91">
        <f t="shared" si="1"/>
        <v>16.658333333333331</v>
      </c>
      <c r="H4" s="91">
        <f t="shared" si="1"/>
        <v>16.658333333333331</v>
      </c>
      <c r="I4" s="91">
        <f t="shared" si="1"/>
        <v>16.658333333333331</v>
      </c>
      <c r="J4" s="91">
        <f t="shared" si="1"/>
        <v>16.658333333333331</v>
      </c>
      <c r="K4" s="91">
        <f t="shared" si="1"/>
        <v>16.658333333333331</v>
      </c>
      <c r="L4" s="91">
        <f t="shared" si="1"/>
        <v>16.658333333333331</v>
      </c>
      <c r="M4" s="91">
        <f t="shared" si="1"/>
        <v>16.658333333333331</v>
      </c>
      <c r="N4" s="91">
        <f t="shared" si="0"/>
        <v>199.89999999999998</v>
      </c>
    </row>
    <row r="5" spans="1:18" x14ac:dyDescent="0.2">
      <c r="A5" s="49" t="s">
        <v>70</v>
      </c>
      <c r="B5" s="91">
        <f>40.95/1.2</f>
        <v>34.125000000000007</v>
      </c>
      <c r="C5" s="91">
        <f t="shared" ref="C5:M5" si="2">40.95/1.2</f>
        <v>34.125000000000007</v>
      </c>
      <c r="D5" s="91">
        <f>57.29/1.2</f>
        <v>47.741666666666667</v>
      </c>
      <c r="E5" s="91">
        <f t="shared" si="2"/>
        <v>34.125000000000007</v>
      </c>
      <c r="F5" s="91">
        <f t="shared" si="2"/>
        <v>34.125000000000007</v>
      </c>
      <c r="G5" s="91">
        <f>72.16/1.2</f>
        <v>60.133333333333333</v>
      </c>
      <c r="H5" s="91">
        <f>72.16/1.2</f>
        <v>60.133333333333333</v>
      </c>
      <c r="I5" s="91">
        <f t="shared" si="2"/>
        <v>34.125000000000007</v>
      </c>
      <c r="J5" s="91">
        <f t="shared" si="2"/>
        <v>34.125000000000007</v>
      </c>
      <c r="K5" s="91">
        <f t="shared" si="2"/>
        <v>34.125000000000007</v>
      </c>
      <c r="L5" s="91">
        <f>56.75/1.2</f>
        <v>47.291666666666671</v>
      </c>
      <c r="M5" s="91">
        <f t="shared" si="2"/>
        <v>34.125000000000007</v>
      </c>
      <c r="N5" s="91">
        <f t="shared" si="0"/>
        <v>488.3</v>
      </c>
    </row>
    <row r="6" spans="1:18" x14ac:dyDescent="0.2">
      <c r="A6" s="49" t="s">
        <v>71</v>
      </c>
      <c r="B6" s="91">
        <v>0</v>
      </c>
      <c r="C6" s="91">
        <f>148/1.2</f>
        <v>123.33333333333334</v>
      </c>
      <c r="D6" s="91">
        <v>216.62</v>
      </c>
      <c r="E6" s="91">
        <f>255/1.2</f>
        <v>212.5</v>
      </c>
      <c r="F6" s="91">
        <v>216.62</v>
      </c>
      <c r="G6" s="91">
        <f>284/1.2</f>
        <v>236.66666666666669</v>
      </c>
      <c r="H6" s="91">
        <v>216.62</v>
      </c>
      <c r="I6" s="91">
        <f>750/1.2</f>
        <v>625</v>
      </c>
      <c r="J6" s="91"/>
      <c r="K6" s="91">
        <f>331/1.2</f>
        <v>275.83333333333337</v>
      </c>
      <c r="L6" s="91"/>
      <c r="M6" s="91">
        <f>297/1.2</f>
        <v>247.5</v>
      </c>
      <c r="N6" s="91">
        <f t="shared" si="0"/>
        <v>2370.6933333333336</v>
      </c>
    </row>
    <row r="7" spans="1:18" x14ac:dyDescent="0.2">
      <c r="A7" s="49" t="s">
        <v>72</v>
      </c>
      <c r="B7" s="91">
        <f>336/1.2</f>
        <v>280</v>
      </c>
      <c r="C7" s="91">
        <f t="shared" ref="C7:H7" si="3">336/1.2</f>
        <v>280</v>
      </c>
      <c r="D7" s="91">
        <f t="shared" si="3"/>
        <v>280</v>
      </c>
      <c r="E7" s="91">
        <f t="shared" si="3"/>
        <v>280</v>
      </c>
      <c r="F7" s="91">
        <f t="shared" si="3"/>
        <v>280</v>
      </c>
      <c r="G7" s="91">
        <f t="shared" si="3"/>
        <v>280</v>
      </c>
      <c r="H7" s="91">
        <f t="shared" si="3"/>
        <v>280</v>
      </c>
      <c r="I7" s="91">
        <f>(336+660)/1.2</f>
        <v>830</v>
      </c>
      <c r="J7" s="91">
        <f>492/1.2</f>
        <v>410</v>
      </c>
      <c r="K7" s="91">
        <f t="shared" ref="K7:M7" si="4">492/1.2</f>
        <v>410</v>
      </c>
      <c r="L7" s="91">
        <f t="shared" si="4"/>
        <v>410</v>
      </c>
      <c r="M7" s="91">
        <f t="shared" si="4"/>
        <v>410</v>
      </c>
      <c r="N7" s="91">
        <f t="shared" si="0"/>
        <v>4430</v>
      </c>
    </row>
    <row r="9" spans="1:18" x14ac:dyDescent="0.2">
      <c r="A9" s="54" t="s">
        <v>95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>
        <f>+' Budget de Trésorerie.'!M15</f>
        <v>275.14</v>
      </c>
      <c r="N9" s="94">
        <f t="shared" ref="N9:N11" si="5">+SUM(D9:M9)</f>
        <v>275.14</v>
      </c>
    </row>
    <row r="11" spans="1:18" x14ac:dyDescent="0.2">
      <c r="A11" s="53" t="s">
        <v>73</v>
      </c>
      <c r="B11" s="92"/>
      <c r="C11" s="92"/>
      <c r="D11" s="92">
        <f>1404</f>
        <v>1404</v>
      </c>
      <c r="E11" s="92">
        <v>2216</v>
      </c>
      <c r="F11" s="92"/>
      <c r="G11" s="92">
        <f>690</f>
        <v>690</v>
      </c>
      <c r="H11" s="92">
        <f>690</f>
        <v>690</v>
      </c>
      <c r="I11" s="92">
        <f>690</f>
        <v>690</v>
      </c>
      <c r="J11" s="92">
        <f>690</f>
        <v>690</v>
      </c>
      <c r="K11" s="92">
        <f>690</f>
        <v>690</v>
      </c>
      <c r="L11" s="92">
        <f>690</f>
        <v>690</v>
      </c>
      <c r="M11" s="92">
        <f>690</f>
        <v>690</v>
      </c>
      <c r="N11" s="94">
        <f t="shared" si="5"/>
        <v>8450</v>
      </c>
      <c r="O11" s="55" t="s">
        <v>110</v>
      </c>
      <c r="P11" s="47">
        <v>8450</v>
      </c>
      <c r="Q11" s="47">
        <v>7647</v>
      </c>
      <c r="R11" s="47">
        <f>690*3</f>
        <v>2070</v>
      </c>
    </row>
    <row r="12" spans="1:18" x14ac:dyDescent="0.2">
      <c r="A12" s="54" t="s">
        <v>93</v>
      </c>
      <c r="B12" s="92"/>
      <c r="C12" s="92">
        <f>285.6</f>
        <v>285.60000000000002</v>
      </c>
      <c r="D12" s="92">
        <f t="shared" ref="D12:M12" si="6">285.6</f>
        <v>285.60000000000002</v>
      </c>
      <c r="E12" s="92">
        <f t="shared" si="6"/>
        <v>285.60000000000002</v>
      </c>
      <c r="F12" s="92">
        <f t="shared" si="6"/>
        <v>285.60000000000002</v>
      </c>
      <c r="G12" s="92">
        <f t="shared" si="6"/>
        <v>285.60000000000002</v>
      </c>
      <c r="H12" s="92">
        <f t="shared" si="6"/>
        <v>285.60000000000002</v>
      </c>
      <c r="I12" s="92">
        <f t="shared" si="6"/>
        <v>285.60000000000002</v>
      </c>
      <c r="J12" s="92">
        <f t="shared" si="6"/>
        <v>285.60000000000002</v>
      </c>
      <c r="K12" s="92">
        <f t="shared" si="6"/>
        <v>285.60000000000002</v>
      </c>
      <c r="L12" s="92">
        <f t="shared" si="6"/>
        <v>285.60000000000002</v>
      </c>
      <c r="M12" s="92">
        <f t="shared" si="6"/>
        <v>285.60000000000002</v>
      </c>
      <c r="N12" s="94">
        <f>+SUM(B12:M12)</f>
        <v>3141.5999999999995</v>
      </c>
      <c r="O12" s="55" t="s">
        <v>110</v>
      </c>
      <c r="P12" s="47">
        <v>3141</v>
      </c>
      <c r="R12" s="47">
        <f>286*3</f>
        <v>858</v>
      </c>
    </row>
    <row r="13" spans="1:18" x14ac:dyDescent="0.2">
      <c r="A13" s="54" t="s">
        <v>91</v>
      </c>
      <c r="B13" s="92"/>
      <c r="C13" s="92"/>
      <c r="D13" s="92"/>
      <c r="E13" s="92"/>
      <c r="F13" s="92"/>
      <c r="G13" s="92"/>
      <c r="H13" s="92">
        <v>928</v>
      </c>
      <c r="I13" s="92"/>
      <c r="J13" s="92"/>
      <c r="K13" s="92"/>
      <c r="L13" s="92">
        <f>(1897/1.2)</f>
        <v>1580.8333333333335</v>
      </c>
      <c r="M13" s="92"/>
      <c r="N13" s="94">
        <f>+SUM(B13:M13)</f>
        <v>2508.8333333333335</v>
      </c>
      <c r="O13" s="79"/>
    </row>
    <row r="14" spans="1:18" x14ac:dyDescent="0.2">
      <c r="A14" s="54" t="s">
        <v>79</v>
      </c>
      <c r="B14" s="92"/>
      <c r="C14" s="92">
        <f>320/1.2</f>
        <v>266.66666666666669</v>
      </c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4">
        <f t="shared" ref="N14:N17" si="7">+SUM(B14:M14)</f>
        <v>266.66666666666669</v>
      </c>
    </row>
    <row r="15" spans="1:18" x14ac:dyDescent="0.2">
      <c r="A15" s="81" t="s">
        <v>90</v>
      </c>
      <c r="B15" s="92"/>
      <c r="C15" s="92"/>
      <c r="D15" s="92"/>
      <c r="E15" s="92"/>
      <c r="F15" s="92"/>
      <c r="G15" s="92"/>
      <c r="H15" s="92"/>
      <c r="I15" s="92"/>
      <c r="J15" s="92">
        <v>549</v>
      </c>
      <c r="K15" s="92">
        <v>549</v>
      </c>
      <c r="L15" s="92"/>
      <c r="M15" s="92"/>
      <c r="N15" s="93">
        <f t="shared" si="7"/>
        <v>1098</v>
      </c>
      <c r="O15" s="55" t="s">
        <v>110</v>
      </c>
      <c r="P15" s="47">
        <v>1098</v>
      </c>
    </row>
    <row r="16" spans="1:18" x14ac:dyDescent="0.2">
      <c r="A16" s="54" t="s">
        <v>88</v>
      </c>
      <c r="B16" s="92"/>
      <c r="C16" s="92">
        <v>887</v>
      </c>
      <c r="D16" s="92"/>
      <c r="E16" s="92"/>
      <c r="F16" s="92"/>
      <c r="G16" s="92"/>
      <c r="H16" s="92"/>
      <c r="I16" s="92">
        <v>531.92999999999995</v>
      </c>
      <c r="J16" s="92"/>
      <c r="K16" s="92"/>
      <c r="L16" s="92"/>
      <c r="M16" s="92">
        <v>531.92999999999995</v>
      </c>
      <c r="N16" s="94">
        <f t="shared" si="7"/>
        <v>1950.8599999999997</v>
      </c>
      <c r="O16" s="55" t="s">
        <v>110</v>
      </c>
      <c r="P16" s="47">
        <v>1950</v>
      </c>
      <c r="R16" s="47">
        <v>532</v>
      </c>
    </row>
    <row r="17" spans="1:18" x14ac:dyDescent="0.2">
      <c r="A17" s="54" t="s">
        <v>80</v>
      </c>
      <c r="B17" s="92"/>
      <c r="C17" s="92">
        <f>600/1.2</f>
        <v>500</v>
      </c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4">
        <f t="shared" si="7"/>
        <v>500</v>
      </c>
      <c r="P17" s="47">
        <v>500</v>
      </c>
      <c r="R17" s="47">
        <f>SUM(R2:R15)</f>
        <v>7174.7699999999995</v>
      </c>
    </row>
    <row r="18" spans="1:18" x14ac:dyDescent="0.2">
      <c r="A18" s="54" t="s">
        <v>81</v>
      </c>
      <c r="B18" s="92"/>
      <c r="C18" s="92">
        <f>99/1.2</f>
        <v>82.5</v>
      </c>
      <c r="D18" s="92">
        <f>148/1.2</f>
        <v>123.33333333333334</v>
      </c>
      <c r="E18" s="92">
        <f>198/1.2</f>
        <v>165</v>
      </c>
      <c r="F18" s="92">
        <f>198/1.2</f>
        <v>165</v>
      </c>
      <c r="G18" s="92">
        <f t="shared" ref="G18:I18" si="8">198/1.2</f>
        <v>165</v>
      </c>
      <c r="H18" s="92">
        <f t="shared" si="8"/>
        <v>165</v>
      </c>
      <c r="I18" s="92">
        <f t="shared" si="8"/>
        <v>165</v>
      </c>
      <c r="J18" s="92">
        <f>297/1.2</f>
        <v>247.5</v>
      </c>
      <c r="K18" s="92">
        <f t="shared" ref="K18:M18" si="9">297/1.2</f>
        <v>247.5</v>
      </c>
      <c r="L18" s="92">
        <f t="shared" si="9"/>
        <v>247.5</v>
      </c>
      <c r="M18" s="92">
        <f t="shared" si="9"/>
        <v>247.5</v>
      </c>
      <c r="N18" s="94">
        <f>+SUM(B18:M18)</f>
        <v>2020.8333333333335</v>
      </c>
    </row>
    <row r="19" spans="1:18" x14ac:dyDescent="0.2">
      <c r="A19" s="54" t="s">
        <v>92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>
        <f>938.23/1.2</f>
        <v>781.85833333333335</v>
      </c>
      <c r="N19" s="94">
        <f t="shared" ref="N19:N20" si="10">+SUM(B19:M19)</f>
        <v>781.85833333333335</v>
      </c>
    </row>
    <row r="20" spans="1:18" x14ac:dyDescent="0.2">
      <c r="A20" s="54" t="s">
        <v>92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>
        <f>372/1.2</f>
        <v>310</v>
      </c>
      <c r="N20" s="94">
        <f t="shared" si="10"/>
        <v>310</v>
      </c>
    </row>
    <row r="21" spans="1:18" x14ac:dyDescent="0.2">
      <c r="A21" s="54" t="s">
        <v>89</v>
      </c>
      <c r="B21" s="92"/>
      <c r="C21" s="92"/>
      <c r="D21" s="92"/>
      <c r="E21" s="92"/>
      <c r="F21" s="92"/>
      <c r="G21" s="92"/>
      <c r="H21" s="92"/>
      <c r="I21" s="92"/>
      <c r="J21" s="92">
        <f>190/1.2</f>
        <v>158.33333333333334</v>
      </c>
      <c r="K21" s="92">
        <f t="shared" ref="K21:M21" si="11">190/1.2</f>
        <v>158.33333333333334</v>
      </c>
      <c r="L21" s="92">
        <f t="shared" si="11"/>
        <v>158.33333333333334</v>
      </c>
      <c r="M21" s="92">
        <f t="shared" si="11"/>
        <v>158.33333333333334</v>
      </c>
      <c r="N21" s="94">
        <f>+SUM(B21:M21)</f>
        <v>633.33333333333337</v>
      </c>
    </row>
    <row r="22" spans="1:18" x14ac:dyDescent="0.2">
      <c r="A22" s="62" t="s">
        <v>83</v>
      </c>
      <c r="B22" s="91"/>
      <c r="C22" s="91"/>
      <c r="D22" s="91">
        <f>100/1.2</f>
        <v>83.333333333333343</v>
      </c>
      <c r="E22" s="91"/>
      <c r="F22" s="91">
        <f>161/1.2</f>
        <v>134.16666666666669</v>
      </c>
      <c r="G22" s="91">
        <f>161/1.2</f>
        <v>134.16666666666669</v>
      </c>
      <c r="H22" s="91">
        <f t="shared" ref="H22:M22" si="12">161/1.2</f>
        <v>134.16666666666669</v>
      </c>
      <c r="I22" s="91">
        <f t="shared" si="12"/>
        <v>134.16666666666669</v>
      </c>
      <c r="J22" s="91">
        <f t="shared" si="12"/>
        <v>134.16666666666669</v>
      </c>
      <c r="K22" s="91">
        <f t="shared" si="12"/>
        <v>134.16666666666669</v>
      </c>
      <c r="L22" s="91">
        <f t="shared" si="12"/>
        <v>134.16666666666669</v>
      </c>
      <c r="M22" s="91">
        <f t="shared" si="12"/>
        <v>134.16666666666669</v>
      </c>
      <c r="N22" s="91">
        <f t="shared" ref="N22:N28" si="13">+SUM(B22:M22)</f>
        <v>1156.666666666667</v>
      </c>
      <c r="O22" s="55" t="s">
        <v>110</v>
      </c>
      <c r="P22" s="47">
        <v>1156</v>
      </c>
    </row>
    <row r="23" spans="1:18" x14ac:dyDescent="0.2">
      <c r="A23" s="54" t="s">
        <v>87</v>
      </c>
      <c r="B23" s="92"/>
      <c r="C23" s="92"/>
      <c r="D23" s="92"/>
      <c r="E23" s="92"/>
      <c r="F23" s="92">
        <f>239.38/1.2</f>
        <v>199.48333333333335</v>
      </c>
      <c r="G23" s="92"/>
      <c r="H23" s="92"/>
      <c r="I23" s="92"/>
      <c r="J23" s="92"/>
      <c r="K23" s="92"/>
      <c r="L23" s="92">
        <f>227/1.2</f>
        <v>189.16666666666669</v>
      </c>
      <c r="M23" s="92"/>
      <c r="N23" s="94">
        <f t="shared" si="13"/>
        <v>388.65000000000003</v>
      </c>
    </row>
    <row r="24" spans="1:18" x14ac:dyDescent="0.2">
      <c r="A24" s="54" t="s">
        <v>84</v>
      </c>
      <c r="B24" s="92"/>
      <c r="C24" s="92"/>
      <c r="D24" s="92"/>
      <c r="E24" s="92"/>
      <c r="F24" s="92">
        <f>201/1.2</f>
        <v>167.5</v>
      </c>
      <c r="G24" s="92"/>
      <c r="H24" s="92"/>
      <c r="I24" s="92"/>
      <c r="J24" s="92"/>
      <c r="K24" s="92"/>
      <c r="L24" s="92">
        <f>270/1.2</f>
        <v>225</v>
      </c>
      <c r="M24" s="92"/>
      <c r="N24" s="94">
        <f t="shared" si="13"/>
        <v>392.5</v>
      </c>
    </row>
    <row r="25" spans="1:18" x14ac:dyDescent="0.2">
      <c r="A25" s="54" t="s">
        <v>85</v>
      </c>
      <c r="B25" s="92"/>
      <c r="C25" s="92"/>
      <c r="D25" s="92"/>
      <c r="E25" s="92"/>
      <c r="F25" s="92">
        <f>44/1.2</f>
        <v>36.666666666666671</v>
      </c>
      <c r="G25" s="92"/>
      <c r="H25" s="92"/>
      <c r="I25" s="92"/>
      <c r="J25" s="92"/>
      <c r="K25" s="92"/>
      <c r="L25" s="92"/>
      <c r="M25" s="92"/>
      <c r="N25" s="94">
        <f t="shared" si="13"/>
        <v>36.666666666666671</v>
      </c>
    </row>
    <row r="26" spans="1:18" x14ac:dyDescent="0.2">
      <c r="A26" s="54" t="s">
        <v>86</v>
      </c>
      <c r="B26" s="92"/>
      <c r="C26" s="92"/>
      <c r="D26" s="92"/>
      <c r="E26" s="92">
        <f>699/1.2</f>
        <v>582.5</v>
      </c>
      <c r="F26" s="92"/>
      <c r="G26" s="92"/>
      <c r="H26" s="92"/>
      <c r="I26" s="93"/>
      <c r="J26" s="92"/>
      <c r="K26" s="92"/>
      <c r="L26" s="92"/>
      <c r="M26" s="92"/>
      <c r="N26" s="94">
        <f t="shared" si="13"/>
        <v>582.5</v>
      </c>
      <c r="O26" s="55" t="s">
        <v>110</v>
      </c>
      <c r="P26" s="47">
        <v>582</v>
      </c>
    </row>
    <row r="27" spans="1:18" x14ac:dyDescent="0.2">
      <c r="A27" s="54" t="s">
        <v>117</v>
      </c>
      <c r="B27" s="92"/>
      <c r="C27" s="92"/>
      <c r="D27" s="92"/>
      <c r="E27" s="93">
        <v>1850</v>
      </c>
      <c r="F27" s="92"/>
      <c r="G27" s="92"/>
      <c r="H27" s="92"/>
      <c r="I27" s="92"/>
      <c r="J27" s="92"/>
      <c r="K27" s="92"/>
      <c r="L27" s="92"/>
      <c r="M27" s="92"/>
      <c r="N27" s="94">
        <f t="shared" si="13"/>
        <v>1850</v>
      </c>
      <c r="O27" s="55" t="s">
        <v>110</v>
      </c>
      <c r="P27" s="47">
        <v>1850</v>
      </c>
      <c r="Q27" s="83" t="s">
        <v>118</v>
      </c>
    </row>
    <row r="28" spans="1:18" x14ac:dyDescent="0.2">
      <c r="A28" s="54" t="s">
        <v>82</v>
      </c>
      <c r="B28" s="92"/>
      <c r="C28" s="92"/>
      <c r="D28" s="92">
        <f>840/1.2</f>
        <v>700</v>
      </c>
      <c r="E28" s="92"/>
      <c r="F28" s="92">
        <f>840/1.2</f>
        <v>700</v>
      </c>
      <c r="G28" s="92"/>
      <c r="H28" s="92"/>
      <c r="I28" s="92">
        <f>800/1.2</f>
        <v>666.66666666666674</v>
      </c>
      <c r="J28" s="92"/>
      <c r="K28" s="92"/>
      <c r="L28" s="92"/>
      <c r="M28" s="92"/>
      <c r="N28" s="94">
        <f t="shared" si="13"/>
        <v>2066.666666666667</v>
      </c>
      <c r="O28" s="55" t="s">
        <v>110</v>
      </c>
      <c r="P28" s="47">
        <v>2066</v>
      </c>
    </row>
    <row r="29" spans="1:18" x14ac:dyDescent="0.2">
      <c r="A29" s="53" t="s">
        <v>74</v>
      </c>
      <c r="B29" s="92"/>
      <c r="C29" s="92">
        <f>315/1.2</f>
        <v>262.5</v>
      </c>
      <c r="D29" s="92">
        <f>315/1.2</f>
        <v>262.5</v>
      </c>
      <c r="E29" s="92">
        <f t="shared" ref="E29:G29" si="14">315/1.2</f>
        <v>262.5</v>
      </c>
      <c r="F29" s="92">
        <f t="shared" si="14"/>
        <v>262.5</v>
      </c>
      <c r="G29" s="92">
        <f t="shared" si="14"/>
        <v>262.5</v>
      </c>
      <c r="H29" s="92"/>
      <c r="I29" s="92"/>
      <c r="J29" s="92"/>
      <c r="K29" s="92"/>
      <c r="L29" s="92"/>
      <c r="M29" s="92"/>
      <c r="N29" s="94">
        <f>+SUM(B29:M29)</f>
        <v>1312.5</v>
      </c>
      <c r="O29" s="55" t="s">
        <v>110</v>
      </c>
      <c r="P29" s="47">
        <v>1312</v>
      </c>
    </row>
    <row r="30" spans="1:18" x14ac:dyDescent="0.2">
      <c r="A30" s="53" t="s">
        <v>75</v>
      </c>
      <c r="B30" s="92">
        <f>360/1.2</f>
        <v>300</v>
      </c>
      <c r="C30" s="92"/>
      <c r="D30" s="92"/>
      <c r="E30" s="92"/>
      <c r="F30" s="92"/>
      <c r="G30" s="92"/>
      <c r="H30" s="92">
        <f>(60+61+60)/1.2</f>
        <v>150.83333333333334</v>
      </c>
      <c r="I30" s="92"/>
      <c r="J30" s="92">
        <f>(94+19+5)/1.2</f>
        <v>98.333333333333343</v>
      </c>
      <c r="K30" s="92"/>
      <c r="L30" s="92">
        <f>(106+80+4.97+12+19)/1.2</f>
        <v>184.97499999999999</v>
      </c>
      <c r="M30" s="92">
        <f>(61+8+93+3)/1.2</f>
        <v>137.5</v>
      </c>
      <c r="N30" s="94">
        <f>+SUM(B30:M30)</f>
        <v>871.64166666666677</v>
      </c>
      <c r="O30" s="55" t="s">
        <v>109</v>
      </c>
    </row>
    <row r="31" spans="1:18" x14ac:dyDescent="0.2">
      <c r="A31" s="53" t="s">
        <v>76</v>
      </c>
      <c r="B31" s="92">
        <f>20/1.2</f>
        <v>16.666666666666668</v>
      </c>
      <c r="C31" s="92">
        <f t="shared" ref="C31:M31" si="15">20/1.2</f>
        <v>16.666666666666668</v>
      </c>
      <c r="D31" s="92">
        <f t="shared" si="15"/>
        <v>16.666666666666668</v>
      </c>
      <c r="E31" s="92">
        <f t="shared" si="15"/>
        <v>16.666666666666668</v>
      </c>
      <c r="F31" s="92">
        <f t="shared" si="15"/>
        <v>16.666666666666668</v>
      </c>
      <c r="G31" s="92">
        <f t="shared" si="15"/>
        <v>16.666666666666668</v>
      </c>
      <c r="H31" s="92">
        <f t="shared" si="15"/>
        <v>16.666666666666668</v>
      </c>
      <c r="I31" s="92">
        <f t="shared" si="15"/>
        <v>16.666666666666668</v>
      </c>
      <c r="J31" s="92">
        <f t="shared" si="15"/>
        <v>16.666666666666668</v>
      </c>
      <c r="K31" s="92">
        <f t="shared" si="15"/>
        <v>16.666666666666668</v>
      </c>
      <c r="L31" s="92">
        <f t="shared" si="15"/>
        <v>16.666666666666668</v>
      </c>
      <c r="M31" s="92">
        <f t="shared" si="15"/>
        <v>16.666666666666668</v>
      </c>
      <c r="N31" s="94">
        <f t="shared" ref="N31:N36" si="16">+SUM(B31:M31)</f>
        <v>199.99999999999997</v>
      </c>
      <c r="O31" s="55" t="s">
        <v>109</v>
      </c>
    </row>
    <row r="32" spans="1:18" x14ac:dyDescent="0.2">
      <c r="A32" s="49" t="s">
        <v>98</v>
      </c>
      <c r="B32" s="91"/>
      <c r="C32" s="91"/>
      <c r="D32" s="91"/>
      <c r="E32" s="91">
        <v>412</v>
      </c>
      <c r="F32" s="91">
        <v>412</v>
      </c>
      <c r="G32" s="91">
        <v>412</v>
      </c>
      <c r="H32" s="91">
        <f>628/1.2</f>
        <v>523.33333333333337</v>
      </c>
      <c r="I32" s="91">
        <f>401/1.2</f>
        <v>334.16666666666669</v>
      </c>
      <c r="J32" s="91">
        <f>401/1.2</f>
        <v>334.16666666666669</v>
      </c>
      <c r="K32" s="91">
        <v>412</v>
      </c>
      <c r="L32" s="91">
        <v>412</v>
      </c>
      <c r="M32" s="91">
        <v>412</v>
      </c>
      <c r="N32" s="91">
        <f t="shared" si="16"/>
        <v>3663.6666666666665</v>
      </c>
    </row>
    <row r="33" spans="1:17" x14ac:dyDescent="0.2">
      <c r="A33" s="49" t="s">
        <v>99</v>
      </c>
      <c r="B33" s="91">
        <f>725.84/1.2</f>
        <v>604.86666666666667</v>
      </c>
      <c r="C33" s="91">
        <f t="shared" ref="C33:G33" si="17">725.84/1.2</f>
        <v>604.86666666666667</v>
      </c>
      <c r="D33" s="91">
        <f t="shared" si="17"/>
        <v>604.86666666666667</v>
      </c>
      <c r="E33" s="91">
        <f t="shared" si="17"/>
        <v>604.86666666666667</v>
      </c>
      <c r="F33" s="91">
        <f t="shared" si="17"/>
        <v>604.86666666666667</v>
      </c>
      <c r="G33" s="91">
        <f t="shared" si="17"/>
        <v>604.86666666666667</v>
      </c>
      <c r="H33" s="91">
        <f>725.84/1.2</f>
        <v>604.86666666666667</v>
      </c>
      <c r="I33" s="91">
        <f t="shared" ref="I33:J33" si="18">725.84/1.2</f>
        <v>604.86666666666667</v>
      </c>
      <c r="J33" s="91">
        <f t="shared" si="18"/>
        <v>604.86666666666667</v>
      </c>
      <c r="K33" s="91">
        <v>725.84</v>
      </c>
      <c r="L33" s="91">
        <v>725.84</v>
      </c>
      <c r="M33" s="91">
        <v>725.84</v>
      </c>
      <c r="N33" s="91">
        <f t="shared" si="16"/>
        <v>7621.3200000000006</v>
      </c>
    </row>
    <row r="34" spans="1:17" x14ac:dyDescent="0.2">
      <c r="A34" s="49" t="s">
        <v>100</v>
      </c>
      <c r="B34" s="91">
        <f>35.75/1.2</f>
        <v>29.791666666666668</v>
      </c>
      <c r="C34" s="91">
        <f t="shared" ref="C34:M34" si="19">35.75/1.2</f>
        <v>29.791666666666668</v>
      </c>
      <c r="D34" s="91">
        <f t="shared" si="19"/>
        <v>29.791666666666668</v>
      </c>
      <c r="E34" s="91">
        <f t="shared" si="19"/>
        <v>29.791666666666668</v>
      </c>
      <c r="F34" s="91">
        <f t="shared" si="19"/>
        <v>29.791666666666668</v>
      </c>
      <c r="G34" s="91">
        <f t="shared" si="19"/>
        <v>29.791666666666668</v>
      </c>
      <c r="H34" s="91">
        <f t="shared" si="19"/>
        <v>29.791666666666668</v>
      </c>
      <c r="I34" s="91">
        <f t="shared" si="19"/>
        <v>29.791666666666668</v>
      </c>
      <c r="J34" s="91">
        <f t="shared" si="19"/>
        <v>29.791666666666668</v>
      </c>
      <c r="K34" s="91">
        <f t="shared" si="19"/>
        <v>29.791666666666668</v>
      </c>
      <c r="L34" s="91">
        <f t="shared" si="19"/>
        <v>29.791666666666668</v>
      </c>
      <c r="M34" s="91">
        <f t="shared" si="19"/>
        <v>29.791666666666668</v>
      </c>
      <c r="N34" s="91">
        <f t="shared" si="16"/>
        <v>357.50000000000006</v>
      </c>
    </row>
    <row r="35" spans="1:17" x14ac:dyDescent="0.2">
      <c r="A35" s="49" t="s">
        <v>96</v>
      </c>
      <c r="B35" s="91">
        <v>9.65</v>
      </c>
      <c r="C35" s="91">
        <v>9.65</v>
      </c>
      <c r="D35" s="91">
        <v>9.65</v>
      </c>
      <c r="E35" s="91">
        <v>9.65</v>
      </c>
      <c r="F35" s="91">
        <v>9.65</v>
      </c>
      <c r="G35" s="91">
        <v>9.65</v>
      </c>
      <c r="H35" s="91">
        <v>9.65</v>
      </c>
      <c r="I35" s="91">
        <v>9.65</v>
      </c>
      <c r="J35" s="91">
        <v>9.65</v>
      </c>
      <c r="K35" s="91">
        <v>9.65</v>
      </c>
      <c r="L35" s="91">
        <v>9.65</v>
      </c>
      <c r="M35" s="91">
        <v>9.65</v>
      </c>
      <c r="N35" s="91">
        <f>+SUM(B35:M35)</f>
        <v>115.80000000000003</v>
      </c>
    </row>
    <row r="36" spans="1:17" x14ac:dyDescent="0.2">
      <c r="A36" s="49" t="s">
        <v>101</v>
      </c>
      <c r="B36" s="91">
        <f>98.33/1.2</f>
        <v>81.941666666666663</v>
      </c>
      <c r="C36" s="91">
        <f t="shared" ref="C36:M36" si="20">98.33/1.2</f>
        <v>81.941666666666663</v>
      </c>
      <c r="D36" s="91">
        <f t="shared" si="20"/>
        <v>81.941666666666663</v>
      </c>
      <c r="E36" s="91">
        <f t="shared" si="20"/>
        <v>81.941666666666663</v>
      </c>
      <c r="F36" s="91">
        <f t="shared" si="20"/>
        <v>81.941666666666663</v>
      </c>
      <c r="G36" s="91">
        <f t="shared" si="20"/>
        <v>81.941666666666663</v>
      </c>
      <c r="H36" s="91">
        <f t="shared" si="20"/>
        <v>81.941666666666663</v>
      </c>
      <c r="I36" s="91">
        <f t="shared" si="20"/>
        <v>81.941666666666663</v>
      </c>
      <c r="J36" s="91">
        <f t="shared" si="20"/>
        <v>81.941666666666663</v>
      </c>
      <c r="K36" s="91">
        <f t="shared" si="20"/>
        <v>81.941666666666663</v>
      </c>
      <c r="L36" s="91">
        <f t="shared" si="20"/>
        <v>81.941666666666663</v>
      </c>
      <c r="M36" s="91">
        <f t="shared" si="20"/>
        <v>81.941666666666663</v>
      </c>
      <c r="N36" s="91">
        <f t="shared" si="16"/>
        <v>983.29999999999973</v>
      </c>
    </row>
    <row r="37" spans="1:17" x14ac:dyDescent="0.2">
      <c r="A37" s="49" t="s">
        <v>97</v>
      </c>
      <c r="B37" s="91">
        <v>17</v>
      </c>
      <c r="C37" s="91">
        <v>17</v>
      </c>
      <c r="D37" s="91">
        <v>17</v>
      </c>
      <c r="E37" s="91">
        <v>17</v>
      </c>
      <c r="F37" s="91">
        <v>17</v>
      </c>
      <c r="G37" s="91">
        <v>17</v>
      </c>
      <c r="H37" s="91">
        <v>17</v>
      </c>
      <c r="I37" s="91">
        <v>17</v>
      </c>
      <c r="J37" s="91">
        <v>17</v>
      </c>
      <c r="K37" s="91">
        <v>17</v>
      </c>
      <c r="L37" s="91">
        <v>17</v>
      </c>
      <c r="M37" s="91">
        <v>17</v>
      </c>
      <c r="N37" s="91">
        <f>+SUM(B37:M37)</f>
        <v>204</v>
      </c>
      <c r="Q37" s="47" t="s">
        <v>115</v>
      </c>
    </row>
    <row r="38" spans="1:17" x14ac:dyDescent="0.2">
      <c r="A38" s="62" t="s">
        <v>123</v>
      </c>
      <c r="B38" s="91"/>
      <c r="C38" s="91"/>
      <c r="D38" s="91"/>
      <c r="E38" s="91"/>
      <c r="F38" s="91"/>
      <c r="G38" s="91"/>
      <c r="H38" s="91"/>
      <c r="I38" s="96">
        <v>25</v>
      </c>
      <c r="J38" s="96">
        <v>25</v>
      </c>
      <c r="K38" s="96">
        <v>25</v>
      </c>
      <c r="L38" s="96">
        <v>25</v>
      </c>
      <c r="M38" s="96">
        <v>25</v>
      </c>
      <c r="N38" s="91">
        <f t="shared" ref="N38:N39" si="21">+SUM(B38:M38)</f>
        <v>125</v>
      </c>
    </row>
    <row r="39" spans="1:17" x14ac:dyDescent="0.2">
      <c r="A39" s="62"/>
      <c r="B39" s="91"/>
      <c r="C39" s="91"/>
      <c r="D39" s="91"/>
      <c r="E39" s="91"/>
      <c r="F39" s="91"/>
      <c r="G39" s="91"/>
      <c r="H39" s="91"/>
      <c r="I39" s="96">
        <v>550</v>
      </c>
      <c r="J39" s="96">
        <v>550</v>
      </c>
      <c r="K39" s="96">
        <v>550</v>
      </c>
      <c r="L39" s="96">
        <v>550</v>
      </c>
      <c r="M39" s="96">
        <v>550</v>
      </c>
      <c r="N39" s="91">
        <f t="shared" si="21"/>
        <v>2750</v>
      </c>
      <c r="P39" s="115">
        <v>12000</v>
      </c>
    </row>
    <row r="40" spans="1:17" x14ac:dyDescent="0.2">
      <c r="A40" s="56" t="s">
        <v>111</v>
      </c>
      <c r="B40" s="97">
        <f>SUM(B2:B39)</f>
        <v>2806.29</v>
      </c>
      <c r="C40" s="97">
        <f t="shared" ref="C40:M40" si="22">SUM(C2:C39)</f>
        <v>14232.21</v>
      </c>
      <c r="D40" s="97">
        <f t="shared" si="22"/>
        <v>5595.293333333334</v>
      </c>
      <c r="E40" s="97">
        <f>SUM(E2:E39)-(E51)-(E52)</f>
        <v>3365.3899999999994</v>
      </c>
      <c r="F40" s="97">
        <f t="shared" si="22"/>
        <v>16423.826666666664</v>
      </c>
      <c r="G40" s="97">
        <f t="shared" si="22"/>
        <v>4718.2316666666657</v>
      </c>
      <c r="H40" s="97">
        <f t="shared" si="22"/>
        <v>5625.8516666666665</v>
      </c>
      <c r="I40" s="97">
        <f t="shared" si="22"/>
        <v>18401.820000000003</v>
      </c>
      <c r="J40" s="97">
        <f t="shared" si="22"/>
        <v>5708.3899999999994</v>
      </c>
      <c r="K40" s="97">
        <f t="shared" si="22"/>
        <v>6084.6966666666667</v>
      </c>
      <c r="L40" s="97">
        <f t="shared" si="22"/>
        <v>18791.005000000001</v>
      </c>
      <c r="M40" s="97">
        <f t="shared" si="22"/>
        <v>7543.791666666667</v>
      </c>
      <c r="N40" s="97">
        <f>SUM(N2:N39)</f>
        <v>114423.79666666669</v>
      </c>
      <c r="P40" s="89">
        <f>SUM(P2:P37)</f>
        <v>39092</v>
      </c>
      <c r="Q40" s="90">
        <f>N40-P40</f>
        <v>75331.796666666691</v>
      </c>
    </row>
    <row r="41" spans="1:17" x14ac:dyDescent="0.2">
      <c r="A41" s="56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P41" s="89"/>
      <c r="Q41" s="90"/>
    </row>
    <row r="42" spans="1:17" x14ac:dyDescent="0.2">
      <c r="A42" s="49" t="s">
        <v>19</v>
      </c>
      <c r="B42" s="91">
        <f>SUM(B2:B39)</f>
        <v>2806.29</v>
      </c>
      <c r="C42" s="91">
        <f t="shared" ref="C42:M42" si="23">SUM(C2:C39)</f>
        <v>14232.21</v>
      </c>
      <c r="D42" s="91">
        <f t="shared" si="23"/>
        <v>5595.293333333334</v>
      </c>
      <c r="E42" s="91">
        <f t="shared" si="23"/>
        <v>8492.39</v>
      </c>
      <c r="F42" s="91">
        <f t="shared" si="23"/>
        <v>16423.826666666664</v>
      </c>
      <c r="G42" s="91">
        <f t="shared" si="23"/>
        <v>4718.2316666666657</v>
      </c>
      <c r="H42" s="91">
        <f t="shared" si="23"/>
        <v>5625.8516666666665</v>
      </c>
      <c r="I42" s="91">
        <f t="shared" si="23"/>
        <v>18401.820000000003</v>
      </c>
      <c r="J42" s="91">
        <f t="shared" si="23"/>
        <v>5708.3899999999994</v>
      </c>
      <c r="K42" s="91">
        <f t="shared" si="23"/>
        <v>6084.6966666666667</v>
      </c>
      <c r="L42" s="91">
        <f t="shared" si="23"/>
        <v>18791.005000000001</v>
      </c>
      <c r="M42" s="91">
        <f t="shared" si="23"/>
        <v>7543.791666666667</v>
      </c>
      <c r="N42" s="97">
        <f>SUM(B42:M42)</f>
        <v>114423.79666666668</v>
      </c>
    </row>
    <row r="43" spans="1:17" x14ac:dyDescent="0.2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</row>
    <row r="44" spans="1:17" x14ac:dyDescent="0.2">
      <c r="B44" s="86"/>
      <c r="C44" s="87"/>
      <c r="D44" s="87"/>
      <c r="E44" s="87"/>
      <c r="F44" s="86"/>
      <c r="G44" s="86"/>
      <c r="H44" s="86"/>
      <c r="I44" s="86"/>
      <c r="J44" s="86"/>
      <c r="K44" s="86"/>
      <c r="L44" s="86"/>
      <c r="M44" s="86"/>
      <c r="N44" s="86"/>
      <c r="O44" s="84"/>
      <c r="P44" s="90">
        <f>Q40</f>
        <v>75331.796666666691</v>
      </c>
      <c r="Q44" s="55" t="s">
        <v>119</v>
      </c>
    </row>
    <row r="45" spans="1:17" x14ac:dyDescent="0.2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</row>
    <row r="46" spans="1:17" x14ac:dyDescent="0.2">
      <c r="B46" s="86"/>
      <c r="C46" s="86"/>
      <c r="D46" s="86"/>
      <c r="E46" s="86"/>
      <c r="F46" s="86"/>
      <c r="G46" s="86"/>
      <c r="H46" s="86"/>
      <c r="I46" s="85" t="s">
        <v>77</v>
      </c>
      <c r="J46" s="88">
        <f>+' Budget de Trésorerie.'!N12</f>
        <v>81318.649999999994</v>
      </c>
      <c r="K46" s="86"/>
      <c r="L46" s="86"/>
      <c r="M46" s="86"/>
      <c r="N46" s="86"/>
    </row>
    <row r="47" spans="1:17" x14ac:dyDescent="0.2">
      <c r="B47" s="86"/>
      <c r="C47" s="86"/>
      <c r="D47" s="86"/>
      <c r="E47" s="86"/>
      <c r="F47" s="86"/>
      <c r="G47" s="86"/>
      <c r="H47" s="86"/>
      <c r="I47" s="85" t="s">
        <v>78</v>
      </c>
      <c r="J47" s="88">
        <f>+N40</f>
        <v>114423.79666666669</v>
      </c>
      <c r="K47" s="86"/>
      <c r="L47" s="86"/>
      <c r="M47" s="86"/>
      <c r="N47" s="86"/>
      <c r="O47" s="84"/>
    </row>
    <row r="48" spans="1:17" x14ac:dyDescent="0.2">
      <c r="B48" s="86"/>
      <c r="C48" s="86"/>
      <c r="D48" s="86"/>
      <c r="E48" s="86"/>
      <c r="F48" s="86"/>
      <c r="G48" s="86"/>
      <c r="H48" s="86"/>
      <c r="I48" s="85" t="s">
        <v>66</v>
      </c>
      <c r="J48" s="88">
        <f>+(J46-J47)</f>
        <v>-33105.146666666697</v>
      </c>
      <c r="K48" s="86"/>
      <c r="L48" s="86"/>
      <c r="M48" s="86"/>
      <c r="N48" s="86"/>
    </row>
    <row r="51" spans="1:16" x14ac:dyDescent="0.2">
      <c r="A51" s="53" t="s">
        <v>103</v>
      </c>
      <c r="B51" s="92"/>
      <c r="C51" s="92"/>
      <c r="D51" s="92"/>
      <c r="E51" s="92">
        <f>5000</f>
        <v>5000</v>
      </c>
      <c r="F51" s="92"/>
      <c r="G51" s="92"/>
      <c r="H51" s="92"/>
      <c r="I51" s="92">
        <v>3365</v>
      </c>
      <c r="J51" s="92">
        <v>3364</v>
      </c>
      <c r="K51" s="92"/>
      <c r="L51" s="92"/>
      <c r="M51" s="93">
        <f>+' Budget de Trésorerie.'!M15</f>
        <v>275.14</v>
      </c>
      <c r="N51" s="94"/>
      <c r="O51" s="48">
        <f>SUM(B51:M51)</f>
        <v>12004.14</v>
      </c>
      <c r="P51" s="47">
        <v>12000</v>
      </c>
    </row>
    <row r="52" spans="1:16" x14ac:dyDescent="0.2">
      <c r="A52" s="81" t="s">
        <v>102</v>
      </c>
      <c r="B52" s="92"/>
      <c r="C52" s="92"/>
      <c r="D52" s="92">
        <v>1130</v>
      </c>
      <c r="E52" s="92">
        <v>127</v>
      </c>
      <c r="F52" s="92">
        <v>781</v>
      </c>
      <c r="G52" s="92">
        <v>793</v>
      </c>
      <c r="H52" s="92">
        <v>1167</v>
      </c>
      <c r="I52" s="92">
        <v>1034</v>
      </c>
      <c r="J52" s="92">
        <v>1389</v>
      </c>
      <c r="K52" s="92">
        <v>2070</v>
      </c>
      <c r="L52" s="95">
        <v>1656</v>
      </c>
      <c r="M52" s="92">
        <v>500</v>
      </c>
      <c r="N52" s="94"/>
      <c r="O52" s="48">
        <f>SUM(B52:M52)</f>
        <v>10647</v>
      </c>
    </row>
    <row r="53" spans="1:16" x14ac:dyDescent="0.2">
      <c r="O53" s="50">
        <f>SUM(O51:O52)</f>
        <v>22651.14</v>
      </c>
    </row>
    <row r="58" spans="1:16" x14ac:dyDescent="0.2">
      <c r="O58" s="51"/>
    </row>
  </sheetData>
  <pageMargins left="0.7" right="0.7" top="0.75" bottom="0.75" header="0.3" footer="0.3"/>
  <pageSetup paperSize="9" scale="70" orientation="landscape" horizontalDpi="300" verticalDpi="300" r:id="rId1"/>
  <ignoredErrors>
    <ignoredError sqref="D5 H5 J18 L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1</vt:lpstr>
      <vt:lpstr>Compte de résultat</vt:lpstr>
      <vt:lpstr>TVA</vt:lpstr>
      <vt:lpstr> Budget de Trésorerie.</vt:lpstr>
      <vt:lpstr>Charges</vt:lpstr>
      <vt:lpstr>' Budget de Trésorerie.'!Zone_d_impression</vt:lpstr>
      <vt:lpstr>Charges!Zone_d_impression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assa mikael</dc:creator>
  <cp:lastModifiedBy>Dell</cp:lastModifiedBy>
  <cp:lastPrinted>2017-09-19T13:57:23Z</cp:lastPrinted>
  <dcterms:created xsi:type="dcterms:W3CDTF">2017-03-31T11:36:46Z</dcterms:created>
  <dcterms:modified xsi:type="dcterms:W3CDTF">2017-09-26T15:53:36Z</dcterms:modified>
</cp:coreProperties>
</file>