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9440" windowHeight="7560"/>
  </bookViews>
  <sheets>
    <sheet name="BP Sophrokhepri" sheetId="1" r:id="rId1"/>
    <sheet name="Début BP" sheetId="4" r:id="rId2"/>
    <sheet name="Structure des flux" sheetId="5" r:id="rId3"/>
    <sheet name="DECOUPAGE POUR PREZ" sheetId="2" r:id="rId4"/>
  </sheets>
  <definedNames>
    <definedName name="_xlnm.Print_Area" localSheetId="1">'Début BP'!$A$1:$D$58</definedName>
  </definedNames>
  <calcPr calcId="145621"/>
</workbook>
</file>

<file path=xl/calcChain.xml><?xml version="1.0" encoding="utf-8"?>
<calcChain xmlns="http://schemas.openxmlformats.org/spreadsheetml/2006/main">
  <c r="E80" i="1" l="1"/>
  <c r="D80" i="1"/>
  <c r="I49" i="1"/>
  <c r="D49" i="1"/>
  <c r="B55" i="1"/>
  <c r="F33" i="1" l="1"/>
  <c r="E49" i="1" s="1"/>
  <c r="I34" i="1"/>
  <c r="F21" i="1"/>
  <c r="E29" i="1"/>
  <c r="F29" i="1" s="1"/>
  <c r="G29" i="1" s="1"/>
  <c r="H29" i="1" s="1"/>
  <c r="I29" i="1" s="1"/>
  <c r="G33" i="1" l="1"/>
  <c r="E20" i="1"/>
  <c r="E24" i="1"/>
  <c r="F24" i="1" s="1"/>
  <c r="G24" i="1" s="1"/>
  <c r="H24" i="1" s="1"/>
  <c r="I24" i="1" s="1"/>
  <c r="H33" i="1" l="1"/>
  <c r="F49" i="1"/>
  <c r="E16" i="1"/>
  <c r="D28" i="1"/>
  <c r="D14" i="1"/>
  <c r="D79" i="1" s="1"/>
  <c r="D42" i="1"/>
  <c r="I33" i="1" l="1"/>
  <c r="H49" i="1" s="1"/>
  <c r="G49" i="1"/>
  <c r="B29" i="1"/>
  <c r="E14" i="1"/>
  <c r="F14" i="1" l="1"/>
  <c r="I11" i="1"/>
  <c r="I10" i="1"/>
  <c r="H11" i="1"/>
  <c r="H10" i="1"/>
  <c r="G11" i="1"/>
  <c r="G10" i="1"/>
  <c r="F11" i="1"/>
  <c r="F10" i="1"/>
  <c r="I9" i="1"/>
  <c r="I8" i="1"/>
  <c r="H9" i="1"/>
  <c r="H8" i="1"/>
  <c r="G9" i="1"/>
  <c r="G8" i="1"/>
  <c r="F9" i="1"/>
  <c r="F8" i="1"/>
  <c r="I7" i="1"/>
  <c r="I6" i="1"/>
  <c r="H7" i="1"/>
  <c r="H6" i="1"/>
  <c r="G7" i="1"/>
  <c r="G6" i="1"/>
  <c r="F7" i="1"/>
  <c r="F6" i="1"/>
  <c r="G16" i="1"/>
  <c r="H16" i="1" s="1"/>
  <c r="I16" i="1" s="1"/>
  <c r="G19" i="1"/>
  <c r="H19" i="1" s="1"/>
  <c r="I19" i="1" s="1"/>
  <c r="AA10" i="1"/>
  <c r="AA6" i="1"/>
  <c r="AB11" i="1"/>
  <c r="Z22" i="1" l="1"/>
  <c r="O14" i="1"/>
  <c r="F25" i="1"/>
  <c r="F23" i="1"/>
  <c r="H45" i="4"/>
  <c r="H40" i="4"/>
  <c r="H49" i="4" s="1"/>
  <c r="H36" i="4"/>
  <c r="H27" i="4"/>
  <c r="C10" i="4"/>
  <c r="E14" i="4"/>
  <c r="E19" i="4" s="1"/>
  <c r="I12" i="1"/>
  <c r="I13" i="1" s="1"/>
  <c r="BN23" i="1"/>
  <c r="BO23" i="1" s="1"/>
  <c r="BI23" i="1"/>
  <c r="BJ23" i="1" s="1"/>
  <c r="BP11" i="1"/>
  <c r="BK11" i="1"/>
  <c r="BP7" i="1"/>
  <c r="BK7" i="1"/>
  <c r="H12" i="1"/>
  <c r="H13" i="1" s="1"/>
  <c r="BD23" i="1"/>
  <c r="BE23" i="1" s="1"/>
  <c r="BF11" i="1"/>
  <c r="BF7" i="1"/>
  <c r="AY23" i="1"/>
  <c r="AZ23" i="1" s="1"/>
  <c r="BA11" i="1"/>
  <c r="BA7" i="1"/>
  <c r="G12" i="1"/>
  <c r="G13" i="1" s="1"/>
  <c r="AS23" i="1"/>
  <c r="AT23" i="1" s="1"/>
  <c r="AU11" i="1"/>
  <c r="AU7" i="1"/>
  <c r="AN23" i="1"/>
  <c r="AO23" i="1" s="1"/>
  <c r="AP11" i="1"/>
  <c r="AP7" i="1"/>
  <c r="AT7" i="1" s="1"/>
  <c r="AZ7" i="1" s="1"/>
  <c r="F12" i="1"/>
  <c r="F13" i="1" s="1"/>
  <c r="AK11" i="1"/>
  <c r="AK7" i="1"/>
  <c r="AI23" i="1"/>
  <c r="AJ23" i="1" s="1"/>
  <c r="AD22" i="1"/>
  <c r="AE22" i="1" s="1"/>
  <c r="AF10" i="1"/>
  <c r="AE10" i="1" s="1"/>
  <c r="AF6" i="1"/>
  <c r="AE6" i="1" s="1"/>
  <c r="E12" i="1"/>
  <c r="E10" i="1"/>
  <c r="E8" i="1"/>
  <c r="E6" i="1"/>
  <c r="W6" i="1"/>
  <c r="Z10" i="1" s="1"/>
  <c r="AJ11" i="1" s="1"/>
  <c r="O11" i="1"/>
  <c r="W10" i="1"/>
  <c r="Z6" i="1" s="1"/>
  <c r="AJ7" i="1" s="1"/>
  <c r="I69" i="1"/>
  <c r="D12" i="1"/>
  <c r="D10" i="1"/>
  <c r="D6" i="1"/>
  <c r="W5" i="1"/>
  <c r="W9" i="1"/>
  <c r="O7" i="1"/>
  <c r="Q7" i="1" s="1"/>
  <c r="G14" i="1" l="1"/>
  <c r="AO7" i="1"/>
  <c r="BE7" i="1"/>
  <c r="Y10" i="1"/>
  <c r="AI11" i="1" s="1"/>
  <c r="AN11" i="1" s="1"/>
  <c r="AS11" i="1" s="1"/>
  <c r="AY11" i="1" s="1"/>
  <c r="BD11" i="1" s="1"/>
  <c r="BI11" i="1" s="1"/>
  <c r="BN11" i="1" s="1"/>
  <c r="BJ7" i="1"/>
  <c r="Q11" i="1"/>
  <c r="BJ11" i="1"/>
  <c r="BO7" i="1"/>
  <c r="AT11" i="1"/>
  <c r="AZ11" i="1" s="1"/>
  <c r="Y6" i="1"/>
  <c r="BE11" i="1"/>
  <c r="BO11" i="1"/>
  <c r="AO11" i="1"/>
  <c r="H14" i="1" l="1"/>
  <c r="AD10" i="1"/>
  <c r="AI7" i="1"/>
  <c r="AN7" i="1" s="1"/>
  <c r="AS7" i="1" s="1"/>
  <c r="AY7" i="1" s="1"/>
  <c r="BD7" i="1" s="1"/>
  <c r="BI7" i="1" s="1"/>
  <c r="BN7" i="1" s="1"/>
  <c r="AD6" i="1"/>
  <c r="I78" i="1"/>
  <c r="N6" i="1"/>
  <c r="I14" i="1" l="1"/>
  <c r="O10" i="1"/>
  <c r="O6" i="1"/>
  <c r="U6" i="1" s="1"/>
  <c r="I70" i="1"/>
  <c r="D45" i="4"/>
  <c r="E45" i="4"/>
  <c r="F45" i="4"/>
  <c r="G45" i="4"/>
  <c r="Q10" i="1" l="1"/>
  <c r="U10" i="1"/>
  <c r="L34" i="2"/>
  <c r="N34" i="2" s="1"/>
  <c r="C28" i="2" l="1"/>
  <c r="D61" i="1"/>
  <c r="C69" i="2" s="1"/>
  <c r="D69" i="1"/>
  <c r="C77" i="2" s="1"/>
  <c r="D62" i="1"/>
  <c r="C70" i="2" s="1"/>
  <c r="N27" i="1"/>
  <c r="C45" i="4"/>
  <c r="G27" i="4"/>
  <c r="F27" i="4"/>
  <c r="E27" i="4"/>
  <c r="D27" i="4"/>
  <c r="C27" i="4"/>
  <c r="F3" i="4"/>
  <c r="D6" i="4"/>
  <c r="E6" i="4" s="1"/>
  <c r="F6" i="4" s="1"/>
  <c r="G6" i="4" s="1"/>
  <c r="H6" i="4" s="1"/>
  <c r="D5" i="4"/>
  <c r="G36" i="4"/>
  <c r="G40" i="4" s="1"/>
  <c r="AD44" i="2"/>
  <c r="AD34" i="2"/>
  <c r="AD30" i="2"/>
  <c r="AD26" i="2"/>
  <c r="Z44" i="2"/>
  <c r="Z34" i="2"/>
  <c r="Z30" i="2"/>
  <c r="Z26" i="2"/>
  <c r="V34" i="2"/>
  <c r="V30" i="2"/>
  <c r="V26" i="2"/>
  <c r="R34" i="2"/>
  <c r="R26" i="2"/>
  <c r="J46" i="2"/>
  <c r="N30" i="2"/>
  <c r="L30" i="2"/>
  <c r="J30" i="2"/>
  <c r="M26" i="2"/>
  <c r="J26" i="2"/>
  <c r="L38" i="2"/>
  <c r="G93" i="2"/>
  <c r="G94" i="2"/>
  <c r="G95" i="2"/>
  <c r="F93" i="2"/>
  <c r="F94" i="2"/>
  <c r="F95" i="2"/>
  <c r="E93" i="2"/>
  <c r="E94" i="2"/>
  <c r="E95" i="2"/>
  <c r="D93" i="2"/>
  <c r="D94" i="2"/>
  <c r="D95" i="2"/>
  <c r="C89" i="2"/>
  <c r="C93" i="2"/>
  <c r="C94" i="2"/>
  <c r="C95" i="2"/>
  <c r="G79" i="2"/>
  <c r="F79" i="2"/>
  <c r="E79" i="2"/>
  <c r="D79" i="2"/>
  <c r="C79" i="2"/>
  <c r="B75" i="2"/>
  <c r="B77" i="2"/>
  <c r="B78" i="2"/>
  <c r="B79" i="2"/>
  <c r="G71" i="2"/>
  <c r="F71" i="2"/>
  <c r="E71" i="2"/>
  <c r="D71" i="2"/>
  <c r="C71" i="2"/>
  <c r="C53" i="2"/>
  <c r="C54" i="2"/>
  <c r="C55" i="2"/>
  <c r="C57" i="2"/>
  <c r="C58" i="2"/>
  <c r="C59" i="2"/>
  <c r="G53" i="2"/>
  <c r="G54" i="2"/>
  <c r="G55" i="2"/>
  <c r="G57" i="2"/>
  <c r="G58" i="2"/>
  <c r="G59" i="2"/>
  <c r="F53" i="2"/>
  <c r="F54" i="2"/>
  <c r="F55" i="2"/>
  <c r="F57" i="2"/>
  <c r="F58" i="2"/>
  <c r="F59" i="2"/>
  <c r="E53" i="2"/>
  <c r="E54" i="2"/>
  <c r="E55" i="2"/>
  <c r="E57" i="2"/>
  <c r="E58" i="2"/>
  <c r="E59" i="2"/>
  <c r="D53" i="2"/>
  <c r="D54" i="2"/>
  <c r="D55" i="2"/>
  <c r="D57" i="2"/>
  <c r="D58" i="2"/>
  <c r="D59" i="2"/>
  <c r="C44" i="2"/>
  <c r="D44" i="2"/>
  <c r="E44" i="2"/>
  <c r="F44" i="2"/>
  <c r="G44" i="2"/>
  <c r="C45" i="2"/>
  <c r="D45" i="2"/>
  <c r="E45" i="2"/>
  <c r="F45" i="2"/>
  <c r="G45" i="2"/>
  <c r="C29" i="2"/>
  <c r="C30" i="2"/>
  <c r="C31" i="2"/>
  <c r="D31" i="2"/>
  <c r="C33" i="2"/>
  <c r="C34" i="2"/>
  <c r="D34" i="2"/>
  <c r="E34" i="2"/>
  <c r="C35" i="2"/>
  <c r="C36" i="2"/>
  <c r="E36" i="2"/>
  <c r="C37" i="2"/>
  <c r="C38" i="2"/>
  <c r="D41" i="2"/>
  <c r="E41" i="2"/>
  <c r="F41" i="2"/>
  <c r="G41" i="2"/>
  <c r="F18" i="1"/>
  <c r="G24" i="2"/>
  <c r="F24" i="2"/>
  <c r="E24" i="2"/>
  <c r="D24" i="2"/>
  <c r="Q14" i="1"/>
  <c r="D8" i="1" s="1"/>
  <c r="O48" i="1"/>
  <c r="F25" i="2"/>
  <c r="B41" i="2"/>
  <c r="E15" i="1"/>
  <c r="F36" i="4"/>
  <c r="F40" i="4" s="1"/>
  <c r="E36" i="4"/>
  <c r="E40" i="4" s="1"/>
  <c r="E31" i="2" l="1"/>
  <c r="F80" i="1"/>
  <c r="F15" i="1"/>
  <c r="E5" i="4"/>
  <c r="D10" i="4"/>
  <c r="G3" i="4"/>
  <c r="C32" i="2"/>
  <c r="BI35" i="1"/>
  <c r="AS35" i="1"/>
  <c r="AN35" i="1"/>
  <c r="AD34" i="1"/>
  <c r="AI35" i="1"/>
  <c r="BN35" i="1"/>
  <c r="BD35" i="1"/>
  <c r="AY35" i="1"/>
  <c r="AY17" i="1"/>
  <c r="AZ17" i="1" s="1"/>
  <c r="AN17" i="1"/>
  <c r="AO17" i="1" s="1"/>
  <c r="AD16" i="1"/>
  <c r="AE16" i="1" s="1"/>
  <c r="BI17" i="1"/>
  <c r="BJ17" i="1" s="1"/>
  <c r="K46" i="2"/>
  <c r="Y34" i="1"/>
  <c r="Q48" i="1"/>
  <c r="R48" i="1" s="1"/>
  <c r="Y16" i="1"/>
  <c r="Z16" i="1" s="1"/>
  <c r="R30" i="2" s="1"/>
  <c r="C90" i="2"/>
  <c r="C24" i="2"/>
  <c r="D28" i="2"/>
  <c r="K26" i="2"/>
  <c r="U44" i="2" s="1"/>
  <c r="W44" i="2" s="1"/>
  <c r="AA26" i="2"/>
  <c r="K30" i="2"/>
  <c r="Y26" i="2"/>
  <c r="AC34" i="2"/>
  <c r="E29" i="2"/>
  <c r="S34" i="2"/>
  <c r="AA34" i="2"/>
  <c r="D29" i="2"/>
  <c r="Q34" i="2"/>
  <c r="Y34" i="2"/>
  <c r="F23" i="2"/>
  <c r="D23" i="2"/>
  <c r="O27" i="1"/>
  <c r="G23" i="2"/>
  <c r="G49" i="4"/>
  <c r="F49" i="4"/>
  <c r="E49" i="4"/>
  <c r="AE34" i="2"/>
  <c r="H3" i="4" l="1"/>
  <c r="F5" i="4"/>
  <c r="E10" i="4"/>
  <c r="E29" i="4" s="1"/>
  <c r="F48" i="4" s="1"/>
  <c r="G48" i="4" s="1"/>
  <c r="H48" i="4" s="1"/>
  <c r="H50" i="4" s="1"/>
  <c r="G15" i="1"/>
  <c r="F20" i="1"/>
  <c r="E32" i="2" s="1"/>
  <c r="BO26" i="1"/>
  <c r="AZ26" i="1"/>
  <c r="Z25" i="1"/>
  <c r="AJ26" i="1" s="1"/>
  <c r="BJ26" i="1"/>
  <c r="BE26" i="1"/>
  <c r="AE25" i="1"/>
  <c r="AO26" i="1"/>
  <c r="AT26" i="1"/>
  <c r="M30" i="2"/>
  <c r="O30" i="2" s="1"/>
  <c r="L46" i="2"/>
  <c r="P27" i="1"/>
  <c r="M46" i="2" s="1"/>
  <c r="P33" i="1"/>
  <c r="L26" i="2"/>
  <c r="Q44" i="2"/>
  <c r="S44" i="2" s="1"/>
  <c r="D32" i="2"/>
  <c r="C26" i="2"/>
  <c r="AA44" i="2"/>
  <c r="Y44" i="2"/>
  <c r="U30" i="2"/>
  <c r="AC30" i="2"/>
  <c r="AC26" i="2"/>
  <c r="Q30" i="2"/>
  <c r="Y30" i="2"/>
  <c r="Q26" i="2"/>
  <c r="U26" i="2"/>
  <c r="AE44" i="2"/>
  <c r="AC44" i="2"/>
  <c r="U34" i="2"/>
  <c r="E23" i="2"/>
  <c r="W34" i="2"/>
  <c r="G50" i="4"/>
  <c r="F50" i="4"/>
  <c r="J59" i="2"/>
  <c r="J54" i="2"/>
  <c r="A1" i="2"/>
  <c r="A3" i="2" s="1"/>
  <c r="H15" i="1" l="1"/>
  <c r="F29" i="2"/>
  <c r="G5" i="4"/>
  <c r="F10" i="4"/>
  <c r="F29" i="4" s="1"/>
  <c r="G20" i="1"/>
  <c r="BE35" i="1"/>
  <c r="BJ35" i="1"/>
  <c r="AO35" i="1"/>
  <c r="BO35" i="1"/>
  <c r="AT35" i="1"/>
  <c r="Z34" i="1"/>
  <c r="AJ35" i="1"/>
  <c r="AZ35" i="1"/>
  <c r="AE34" i="1"/>
  <c r="N46" i="2"/>
  <c r="D25" i="2"/>
  <c r="S26" i="2"/>
  <c r="G25" i="2"/>
  <c r="AE26" i="2"/>
  <c r="E25" i="2"/>
  <c r="W26" i="2"/>
  <c r="F26" i="2"/>
  <c r="AA30" i="2"/>
  <c r="E26" i="2"/>
  <c r="W30" i="2"/>
  <c r="D26" i="2"/>
  <c r="S30" i="2"/>
  <c r="AE30" i="2"/>
  <c r="G26" i="2"/>
  <c r="L44" i="1"/>
  <c r="L49" i="1"/>
  <c r="G29" i="2" l="1"/>
  <c r="I15" i="1"/>
  <c r="H5" i="4"/>
  <c r="H10" i="4" s="1"/>
  <c r="H29" i="4" s="1"/>
  <c r="G10" i="4"/>
  <c r="G29" i="4" s="1"/>
  <c r="H20" i="1"/>
  <c r="F32" i="2"/>
  <c r="C41" i="2"/>
  <c r="C23" i="2"/>
  <c r="E69" i="1"/>
  <c r="D77" i="2" s="1"/>
  <c r="F69" i="1"/>
  <c r="E77" i="2" s="1"/>
  <c r="G69" i="1"/>
  <c r="F77" i="2" s="1"/>
  <c r="H69" i="1"/>
  <c r="G77" i="2" s="1"/>
  <c r="E61" i="1"/>
  <c r="D69" i="2" s="1"/>
  <c r="B58" i="1"/>
  <c r="B68" i="1"/>
  <c r="D68" i="1" s="1"/>
  <c r="B66" i="1"/>
  <c r="D66" i="1" s="1"/>
  <c r="B59" i="1"/>
  <c r="D59" i="1" s="1"/>
  <c r="E26" i="1"/>
  <c r="E17" i="1"/>
  <c r="E79" i="1" s="1"/>
  <c r="D89" i="2" s="1"/>
  <c r="I20" i="1" l="1"/>
  <c r="G32" i="2"/>
  <c r="B74" i="2"/>
  <c r="B64" i="1"/>
  <c r="B72" i="1"/>
  <c r="B80" i="2" s="1"/>
  <c r="D60" i="1"/>
  <c r="D36" i="2"/>
  <c r="F17" i="1"/>
  <c r="F79" i="1" s="1"/>
  <c r="D30" i="2"/>
  <c r="F26" i="1"/>
  <c r="D38" i="2"/>
  <c r="C76" i="2"/>
  <c r="B76" i="2"/>
  <c r="E35" i="2"/>
  <c r="D35" i="2"/>
  <c r="F34" i="2"/>
  <c r="D37" i="2"/>
  <c r="G18" i="1"/>
  <c r="G80" i="1" s="1"/>
  <c r="C67" i="2"/>
  <c r="C41" i="5"/>
  <c r="A39" i="5"/>
  <c r="A10" i="5"/>
  <c r="A6" i="5"/>
  <c r="D36" i="4"/>
  <c r="D40" i="4" s="1"/>
  <c r="C36" i="4"/>
  <c r="C40" i="4" s="1"/>
  <c r="C14" i="4"/>
  <c r="C19" i="4" s="1"/>
  <c r="O19" i="1"/>
  <c r="A1" i="1"/>
  <c r="A3" i="1" s="1"/>
  <c r="E89" i="2" l="1"/>
  <c r="F61" i="1"/>
  <c r="E69" i="2" s="1"/>
  <c r="A29" i="5"/>
  <c r="A41" i="5" s="1"/>
  <c r="C68" i="2"/>
  <c r="E60" i="1"/>
  <c r="G34" i="2"/>
  <c r="B73" i="1"/>
  <c r="B74" i="1" s="1"/>
  <c r="G23" i="1"/>
  <c r="F35" i="2" s="1"/>
  <c r="C39" i="2"/>
  <c r="F36" i="2"/>
  <c r="D33" i="2"/>
  <c r="E59" i="1"/>
  <c r="G26" i="1"/>
  <c r="E38" i="2"/>
  <c r="E62" i="1"/>
  <c r="D70" i="2" s="1"/>
  <c r="D90" i="2"/>
  <c r="H18" i="1"/>
  <c r="H80" i="1" s="1"/>
  <c r="F31" i="2"/>
  <c r="G25" i="1"/>
  <c r="E37" i="2"/>
  <c r="E68" i="1"/>
  <c r="G17" i="1"/>
  <c r="E30" i="2"/>
  <c r="Q6" i="1"/>
  <c r="D49" i="4"/>
  <c r="C49" i="4"/>
  <c r="D29" i="4"/>
  <c r="E48" i="4" s="1"/>
  <c r="E50" i="4" s="1"/>
  <c r="C29" i="4"/>
  <c r="C48" i="4" s="1"/>
  <c r="B81" i="2" l="1"/>
  <c r="B82" i="2"/>
  <c r="G62" i="1"/>
  <c r="F70" i="2" s="1"/>
  <c r="H23" i="1"/>
  <c r="I23" i="1" s="1"/>
  <c r="D68" i="2"/>
  <c r="F60" i="1"/>
  <c r="G31" i="2"/>
  <c r="I18" i="1"/>
  <c r="I80" i="1" s="1"/>
  <c r="G36" i="2"/>
  <c r="D13" i="1"/>
  <c r="D35" i="1" s="1"/>
  <c r="N26" i="2"/>
  <c r="E27" i="1"/>
  <c r="F62" i="1"/>
  <c r="E70" i="2" s="1"/>
  <c r="E90" i="2"/>
  <c r="F68" i="1"/>
  <c r="D76" i="2"/>
  <c r="H26" i="1"/>
  <c r="F38" i="2"/>
  <c r="F59" i="1"/>
  <c r="D67" i="2"/>
  <c r="G21" i="1"/>
  <c r="G79" i="1" s="1"/>
  <c r="E33" i="2"/>
  <c r="H17" i="1"/>
  <c r="F30" i="2"/>
  <c r="H25" i="1"/>
  <c r="F37" i="2"/>
  <c r="C50" i="4"/>
  <c r="C53" i="4" s="1"/>
  <c r="D53" i="4" s="1"/>
  <c r="D48" i="4"/>
  <c r="D50" i="4" s="1"/>
  <c r="F89" i="2" l="1"/>
  <c r="G61" i="1"/>
  <c r="F69" i="2" s="1"/>
  <c r="I62" i="1"/>
  <c r="D39" i="2"/>
  <c r="F90" i="2"/>
  <c r="D36" i="1"/>
  <c r="G35" i="2"/>
  <c r="E68" i="2"/>
  <c r="G60" i="1"/>
  <c r="G37" i="2"/>
  <c r="I25" i="1"/>
  <c r="G38" i="2"/>
  <c r="I26" i="1"/>
  <c r="G30" i="2"/>
  <c r="I17" i="1"/>
  <c r="C74" i="2"/>
  <c r="H62" i="1"/>
  <c r="G70" i="2" s="1"/>
  <c r="G90" i="2"/>
  <c r="G59" i="1"/>
  <c r="E67" i="2"/>
  <c r="H21" i="1"/>
  <c r="H79" i="1" s="1"/>
  <c r="F33" i="2"/>
  <c r="G68" i="1"/>
  <c r="E76" i="2"/>
  <c r="E66" i="1"/>
  <c r="C54" i="4"/>
  <c r="D54" i="4" s="1"/>
  <c r="E28" i="2"/>
  <c r="G89" i="2" l="1"/>
  <c r="H61" i="1"/>
  <c r="G69" i="2" s="1"/>
  <c r="H60" i="1"/>
  <c r="F68" i="2"/>
  <c r="G33" i="2"/>
  <c r="I21" i="1"/>
  <c r="I79" i="1" s="1"/>
  <c r="C25" i="2"/>
  <c r="C27" i="2"/>
  <c r="F27" i="1"/>
  <c r="D74" i="2"/>
  <c r="H68" i="1"/>
  <c r="F76" i="2"/>
  <c r="H59" i="1"/>
  <c r="F67" i="2"/>
  <c r="E13" i="1"/>
  <c r="C55" i="4"/>
  <c r="C56" i="4" s="1"/>
  <c r="I61" i="1" l="1"/>
  <c r="I81" i="1"/>
  <c r="I60" i="1"/>
  <c r="G68" i="2"/>
  <c r="G67" i="2"/>
  <c r="I59" i="1"/>
  <c r="G76" i="2"/>
  <c r="I68" i="1"/>
  <c r="E27" i="2"/>
  <c r="D78" i="1"/>
  <c r="F66" i="1"/>
  <c r="E39" i="2"/>
  <c r="G28" i="2"/>
  <c r="F28" i="2"/>
  <c r="E78" i="1"/>
  <c r="D88" i="2" s="1"/>
  <c r="D27" i="2"/>
  <c r="D55" i="4"/>
  <c r="F78" i="1"/>
  <c r="E88" i="2" s="1"/>
  <c r="C57" i="4"/>
  <c r="D57" i="4" s="1"/>
  <c r="D56" i="4"/>
  <c r="C88" i="2" l="1"/>
  <c r="D81" i="1"/>
  <c r="E70" i="1"/>
  <c r="D78" i="2" s="1"/>
  <c r="F27" i="2"/>
  <c r="E81" i="1"/>
  <c r="D91" i="2" s="1"/>
  <c r="C91" i="2"/>
  <c r="D70" i="1"/>
  <c r="C78" i="2" s="1"/>
  <c r="G27" i="1"/>
  <c r="E74" i="2"/>
  <c r="F70" i="1"/>
  <c r="E78" i="2" s="1"/>
  <c r="F81" i="1"/>
  <c r="G78" i="1"/>
  <c r="F88" i="2" s="1"/>
  <c r="G27" i="2" l="1"/>
  <c r="D82" i="1"/>
  <c r="E82" i="1"/>
  <c r="D92" i="2" s="1"/>
  <c r="G66" i="1"/>
  <c r="F39" i="2"/>
  <c r="F82" i="1"/>
  <c r="E91" i="2"/>
  <c r="H78" i="1"/>
  <c r="G88" i="2" s="1"/>
  <c r="G70" i="1"/>
  <c r="F78" i="2" s="1"/>
  <c r="G81" i="1"/>
  <c r="F91" i="2" s="1"/>
  <c r="E51" i="1" l="1"/>
  <c r="D56" i="2" s="1"/>
  <c r="D51" i="1"/>
  <c r="C92" i="2"/>
  <c r="C40" i="2"/>
  <c r="D67" i="1"/>
  <c r="E28" i="1" s="1"/>
  <c r="E35" i="1" s="1"/>
  <c r="H27" i="1"/>
  <c r="F74" i="2"/>
  <c r="F51" i="1"/>
  <c r="E56" i="2" s="1"/>
  <c r="E92" i="2"/>
  <c r="H70" i="1"/>
  <c r="G78" i="2" s="1"/>
  <c r="H81" i="1"/>
  <c r="I82" i="1" s="1"/>
  <c r="I51" i="1" s="1"/>
  <c r="G82" i="1"/>
  <c r="C56" i="2" l="1"/>
  <c r="C75" i="2"/>
  <c r="D43" i="1"/>
  <c r="D58" i="1" s="1"/>
  <c r="C43" i="2"/>
  <c r="C42" i="2"/>
  <c r="E67" i="1"/>
  <c r="D75" i="2" s="1"/>
  <c r="H66" i="1"/>
  <c r="G39" i="2"/>
  <c r="D40" i="2"/>
  <c r="G51" i="1"/>
  <c r="F56" i="2" s="1"/>
  <c r="F92" i="2"/>
  <c r="H82" i="1"/>
  <c r="G91" i="2"/>
  <c r="D42" i="2" l="1"/>
  <c r="E42" i="1"/>
  <c r="E43" i="1" s="1"/>
  <c r="G74" i="2"/>
  <c r="I27" i="1"/>
  <c r="C47" i="2"/>
  <c r="D64" i="1"/>
  <c r="C46" i="2"/>
  <c r="F28" i="1"/>
  <c r="E36" i="1"/>
  <c r="D43" i="2" s="1"/>
  <c r="D46" i="1"/>
  <c r="H51" i="1"/>
  <c r="G56" i="2" s="1"/>
  <c r="G92" i="2"/>
  <c r="C72" i="2" l="1"/>
  <c r="E40" i="2"/>
  <c r="F35" i="1"/>
  <c r="E42" i="2" s="1"/>
  <c r="I66" i="1"/>
  <c r="D55" i="1"/>
  <c r="D46" i="2"/>
  <c r="C66" i="2"/>
  <c r="F67" i="1"/>
  <c r="E75" i="2" s="1"/>
  <c r="C52" i="2"/>
  <c r="E46" i="1"/>
  <c r="D52" i="2" s="1"/>
  <c r="D47" i="2"/>
  <c r="E58" i="1"/>
  <c r="D66" i="2" s="1"/>
  <c r="D72" i="1" l="1"/>
  <c r="C80" i="2" s="1"/>
  <c r="F36" i="1"/>
  <c r="E43" i="2" s="1"/>
  <c r="F42" i="1"/>
  <c r="E46" i="2" s="1"/>
  <c r="C60" i="2"/>
  <c r="G28" i="1"/>
  <c r="E64" i="1"/>
  <c r="E55" i="1"/>
  <c r="E72" i="1" s="1"/>
  <c r="D73" i="1" l="1"/>
  <c r="D74" i="1" s="1"/>
  <c r="D72" i="2"/>
  <c r="G67" i="1"/>
  <c r="F75" i="2" s="1"/>
  <c r="G35" i="1"/>
  <c r="F43" i="1"/>
  <c r="E47" i="2" s="1"/>
  <c r="F40" i="2"/>
  <c r="D60" i="2"/>
  <c r="C81" i="2"/>
  <c r="C82" i="2"/>
  <c r="H28" i="1" l="1"/>
  <c r="G40" i="2" s="1"/>
  <c r="F46" i="1"/>
  <c r="E52" i="2" s="1"/>
  <c r="F58" i="1"/>
  <c r="E66" i="2" s="1"/>
  <c r="F42" i="2"/>
  <c r="G36" i="1"/>
  <c r="F43" i="2" s="1"/>
  <c r="G42" i="1"/>
  <c r="E73" i="1"/>
  <c r="E74" i="1" s="1"/>
  <c r="D80" i="2"/>
  <c r="H67" i="1" l="1"/>
  <c r="H35" i="1"/>
  <c r="G42" i="2" s="1"/>
  <c r="F55" i="1"/>
  <c r="E60" i="2" s="1"/>
  <c r="F64" i="1"/>
  <c r="E72" i="2" s="1"/>
  <c r="G43" i="1"/>
  <c r="F46" i="2"/>
  <c r="D81" i="2"/>
  <c r="D82" i="2"/>
  <c r="G75" i="2" l="1"/>
  <c r="I28" i="1"/>
  <c r="H42" i="1"/>
  <c r="G46" i="2" s="1"/>
  <c r="H36" i="1"/>
  <c r="G43" i="2" s="1"/>
  <c r="F72" i="1"/>
  <c r="E80" i="2" s="1"/>
  <c r="G46" i="1"/>
  <c r="F47" i="2"/>
  <c r="G58" i="1"/>
  <c r="I35" i="1" l="1"/>
  <c r="I67" i="1"/>
  <c r="H43" i="1"/>
  <c r="G47" i="2" s="1"/>
  <c r="F73" i="1"/>
  <c r="F74" i="1" s="1"/>
  <c r="E82" i="2" s="1"/>
  <c r="H46" i="1"/>
  <c r="G52" i="2" s="1"/>
  <c r="F66" i="2"/>
  <c r="G64" i="1"/>
  <c r="F72" i="2" s="1"/>
  <c r="F52" i="2"/>
  <c r="G55" i="1"/>
  <c r="H58" i="1" l="1"/>
  <c r="H64" i="1" s="1"/>
  <c r="G72" i="2" s="1"/>
  <c r="I36" i="1"/>
  <c r="I42" i="1"/>
  <c r="I43" i="1" s="1"/>
  <c r="I46" i="1" s="1"/>
  <c r="E81" i="2"/>
  <c r="H55" i="1"/>
  <c r="F60" i="2"/>
  <c r="G72" i="1"/>
  <c r="G66" i="2" l="1"/>
  <c r="I58" i="1"/>
  <c r="I64" i="1" s="1"/>
  <c r="H72" i="1"/>
  <c r="G80" i="2" s="1"/>
  <c r="I55" i="1"/>
  <c r="I72" i="1" s="1"/>
  <c r="I73" i="1" s="1"/>
  <c r="G60" i="2"/>
  <c r="F80" i="2"/>
  <c r="G73" i="1"/>
  <c r="I74" i="1" l="1"/>
  <c r="H73" i="1"/>
  <c r="G81" i="2" s="1"/>
  <c r="F81" i="2"/>
  <c r="G74" i="1"/>
  <c r="F82" i="2" s="1"/>
  <c r="H74" i="1" l="1"/>
  <c r="G82" i="2" s="1"/>
</calcChain>
</file>

<file path=xl/sharedStrings.xml><?xml version="1.0" encoding="utf-8"?>
<sst xmlns="http://schemas.openxmlformats.org/spreadsheetml/2006/main" count="801" uniqueCount="352">
  <si>
    <t>Total CA</t>
  </si>
  <si>
    <t>taux</t>
  </si>
  <si>
    <t>total h</t>
  </si>
  <si>
    <t>prix/f/an</t>
  </si>
  <si>
    <t>MAD salles conférence</t>
  </si>
  <si>
    <t>salles</t>
  </si>
  <si>
    <t>Commissions de portage salarial</t>
  </si>
  <si>
    <t>salaires</t>
  </si>
  <si>
    <t>com</t>
  </si>
  <si>
    <t>12M</t>
  </si>
  <si>
    <t>Location + charges</t>
  </si>
  <si>
    <t>business plan</t>
  </si>
  <si>
    <t>1ere année</t>
  </si>
  <si>
    <t>immobilier</t>
  </si>
  <si>
    <t>ann h.t.</t>
  </si>
  <si>
    <t>loyer</t>
  </si>
  <si>
    <t>charges</t>
  </si>
  <si>
    <t>taxe fonciere</t>
  </si>
  <si>
    <t>taxe bureau</t>
  </si>
  <si>
    <t>report dépenses départ</t>
  </si>
  <si>
    <t>soustotal immo</t>
  </si>
  <si>
    <t>Frais Exeptionels 1ere année</t>
  </si>
  <si>
    <t>dépenses de départ (année 1)</t>
  </si>
  <si>
    <t>dépôt garantie location</t>
  </si>
  <si>
    <t>design archi intérieure</t>
  </si>
  <si>
    <t>travaux</t>
  </si>
  <si>
    <t>domotique</t>
  </si>
  <si>
    <t>total frais départ</t>
  </si>
  <si>
    <t>charges autres</t>
  </si>
  <si>
    <t>internet/tel</t>
  </si>
  <si>
    <t>logiciel prise rdv</t>
  </si>
  <si>
    <t>ménage</t>
  </si>
  <si>
    <t>ss tot charges autres</t>
  </si>
  <si>
    <t>TOTAL Charges annuelles</t>
  </si>
  <si>
    <t>prévision C.A.</t>
  </si>
  <si>
    <t>nb cabines</t>
  </si>
  <si>
    <t>tarif location max</t>
  </si>
  <si>
    <t>tarif location min</t>
  </si>
  <si>
    <t>%max versus min</t>
  </si>
  <si>
    <t>tarif moyen loc</t>
  </si>
  <si>
    <t>nb moyen heures/jour</t>
  </si>
  <si>
    <t>nb moyen j/sem</t>
  </si>
  <si>
    <t>nb sem /an</t>
  </si>
  <si>
    <t>C.A. loc cabine annuel</t>
  </si>
  <si>
    <t>C.A. loc gde salle annuel</t>
  </si>
  <si>
    <t>rentabilité</t>
  </si>
  <si>
    <t>dépenses</t>
  </si>
  <si>
    <t>revenus</t>
  </si>
  <si>
    <t>résultat brut annuel</t>
  </si>
  <si>
    <t>Long terme</t>
  </si>
  <si>
    <t>sur (ans):</t>
  </si>
  <si>
    <t>cumulé</t>
  </si>
  <si>
    <t>moyenne par an</t>
  </si>
  <si>
    <t>Eléments chiffrés pour le B.P. :</t>
  </si>
  <si>
    <t xml:space="preserve">Les coûts pour démarrer une activité de thérapeute la première année 2014 </t>
  </si>
  <si>
    <t>Coûts location de salles sur une période d’un an chez Sésame pour démarrage activité d'un thérapeute pour 400 heures, soit 18 € /h en moyenne</t>
  </si>
  <si>
    <t>Coûts à reconduire en année 1 (2015)</t>
  </si>
  <si>
    <t>Assurance professionnelle AXA par an</t>
  </si>
  <si>
    <t>RC Macif par an</t>
  </si>
  <si>
    <t>Mailing Entreprises, soit 133,15 €/mois</t>
  </si>
  <si>
    <t>Site web Visibleo 310e/mois</t>
  </si>
  <si>
    <t>Annonces supports nationaux (la Vitrine des CE, Magazine de l'énergie EDF, Aéroport de Paris)</t>
  </si>
  <si>
    <t>Dépenses année 1 (2015) hors salaire et charges  salariales</t>
  </si>
  <si>
    <t>Bail commercial Nogent sur Marne (copie du bail)</t>
  </si>
  <si>
    <t>Dépôt de garantie Hors Charges</t>
  </si>
  <si>
    <t>Honoraires agence Evolis h.c.(50 % à la signature, 50 % au 1er avril 2015)</t>
  </si>
  <si>
    <t>Dont Loyer 1er trimestre chargés au 1er avril 2015 9666,00 Chargés et taxés</t>
  </si>
  <si>
    <t>Charges locatives annuelles, soit 1300 €/trimestre</t>
  </si>
  <si>
    <t>Taxes foncières</t>
  </si>
  <si>
    <t>Taxe bureau</t>
  </si>
  <si>
    <t>Marketing</t>
  </si>
  <si>
    <t>Stratégie, actions marketing, communication réseaux sociaux</t>
  </si>
  <si>
    <t>Aménagement décoration et travaux ==&gt; amortissable</t>
  </si>
  <si>
    <t>Conseil Agencement</t>
  </si>
  <si>
    <t>Travaux électricité, cloisons, sanitaires</t>
  </si>
  <si>
    <t>Assurance locaux entreprises</t>
  </si>
  <si>
    <t>BFR</t>
  </si>
  <si>
    <t>Flux de Revenus constituant le CA</t>
  </si>
  <si>
    <t>Nombre de Forfaits horaires vendus aux thérapeutes pour utilisation des espaces cabines (objectif 500 k€)</t>
  </si>
  <si>
    <t>Commissions sur portage salariale</t>
  </si>
  <si>
    <t>Séances de thérapie individuelles par E.Revellat (qui seront peut-être à facturer sur l'ancienne société Khépri la première année)</t>
  </si>
  <si>
    <t>Honoraires de conseil aux entreprises</t>
  </si>
  <si>
    <t>Formation aux professionnels de santé, aides-soignants, personnel infirmier...</t>
  </si>
  <si>
    <t>Formation à la sophrologie pour les particuliers (groupes)</t>
  </si>
  <si>
    <t>Thérapie de groupe</t>
  </si>
  <si>
    <t>Vente H.E et compléments alimentaires</t>
  </si>
  <si>
    <t>Total année 1</t>
  </si>
  <si>
    <t xml:space="preserve">BFR dont </t>
  </si>
  <si>
    <t>sont déjà payés et viendront constituer le capital</t>
  </si>
  <si>
    <t>Statuts SAS : dirigeante Evelyne Revellat</t>
  </si>
  <si>
    <t>Pacte d'actionnaire compte de la levée de fonds avec Sparkup</t>
  </si>
  <si>
    <t>Clôture exercice au 30 juin pour un bilan au 30-09</t>
  </si>
  <si>
    <t>Prévoir un smic d'hôtesse-assistance l'année 1 et un mi-tps supplémentaire l'année 2</t>
  </si>
  <si>
    <t xml:space="preserve">Distribution de dividendes dès la première année ? 6 % </t>
  </si>
  <si>
    <t>Sparkup :</t>
  </si>
  <si>
    <r>
      <t>-</t>
    </r>
    <r>
      <rPr>
        <sz val="7"/>
        <color rgb="FF1F497D"/>
        <rFont val="Times New Roman"/>
        <family val="1"/>
      </rPr>
      <t xml:space="preserve">          </t>
    </r>
    <r>
      <rPr>
        <b/>
        <sz val="11"/>
        <color rgb="FF1F497D"/>
        <rFont val="Calibri"/>
        <family val="2"/>
        <scheme val="minor"/>
      </rPr>
      <t>Participations des investisseurs</t>
    </r>
    <r>
      <rPr>
        <sz val="11"/>
        <color rgb="FF1F497D"/>
        <rFont val="Calibri"/>
        <family val="2"/>
        <scheme val="minor"/>
      </rPr>
      <t xml:space="preserve"> (de la part de</t>
    </r>
    <r>
      <rPr>
        <b/>
        <sz val="11"/>
        <color rgb="FF1F497D"/>
        <rFont val="Calibri"/>
        <family val="2"/>
        <scheme val="minor"/>
      </rPr>
      <t xml:space="preserve"> Louise Bonnier de Sparkup</t>
    </r>
    <r>
      <rPr>
        <sz val="11"/>
        <color rgb="FF1F497D"/>
        <rFont val="Calibri"/>
        <family val="2"/>
        <scheme val="minor"/>
      </rPr>
      <t>) :</t>
    </r>
  </si>
  <si>
    <t>Après 3 ans, les investisseurs peuvent céder leur parts avec priorité de rachat pour le dirigeant.</t>
  </si>
  <si>
    <t>Il n'y a pas de "remboursement" car ce n'est pas un prêt mais une prise de participation en capital.</t>
  </si>
  <si>
    <t>Du coup, le retour sur investissement des investisseurs peut se matérialiser de 3 manières:</t>
  </si>
  <si>
    <t>- la personne revend ses parts à un tiers à un prix plus élevé que le prix d'acquisition</t>
  </si>
  <si>
    <t>- la personne bénéficie de dividende parce que l'entreprise fait des bénéfices et décide de les distribuer aux actionnaires</t>
  </si>
  <si>
    <t>- l'entreprise est vendue auquel cas l'investisseur récupère un pourcentage du prix de vente égal à sa part dans le capital de la société.</t>
  </si>
  <si>
    <r>
      <rPr>
        <sz val="7"/>
        <color rgb="FF1F497D"/>
        <rFont val="Times New Roman"/>
        <family val="1"/>
      </rPr>
      <t xml:space="preserve"> </t>
    </r>
    <r>
      <rPr>
        <b/>
        <sz val="11"/>
        <color rgb="FF1F497D"/>
        <rFont val="Calibri"/>
        <family val="2"/>
        <scheme val="minor"/>
      </rPr>
      <t>Portage salarial dédié aux professionnels de santé :</t>
    </r>
  </si>
  <si>
    <t>Au montant global Hors Taxes des honoraires sont retranchés :</t>
  </si>
  <si>
    <r>
      <t>Les frais de gestion </t>
    </r>
    <r>
      <rPr>
        <b/>
        <sz val="11"/>
        <color theme="1"/>
        <rFont val="Calibri"/>
        <family val="2"/>
        <scheme val="minor"/>
      </rPr>
      <t>HELIA</t>
    </r>
    <r>
      <rPr>
        <sz val="11"/>
        <color theme="1"/>
        <rFont val="Calibri"/>
        <family val="2"/>
        <scheme val="minor"/>
      </rPr>
      <t> Portage (8% environ) voir barème ci-dessous et l</t>
    </r>
    <r>
      <rPr>
        <sz val="11"/>
        <color theme="1"/>
        <rFont val="Calibri"/>
        <family val="2"/>
        <scheme val="minor"/>
      </rPr>
      <t>es charges (patronales et salariales)</t>
    </r>
  </si>
  <si>
    <r>
      <t>-</t>
    </r>
    <r>
      <rPr>
        <sz val="7"/>
        <color theme="1"/>
        <rFont val="Times New Roman"/>
        <family val="1"/>
      </rPr>
      <t xml:space="preserve">          </t>
    </r>
    <r>
      <rPr>
        <sz val="11"/>
        <color theme="1"/>
        <rFont val="Calibri"/>
        <family val="2"/>
        <scheme val="minor"/>
      </rPr>
      <t>Les frais de gestion de HELIA Portage (pour les professionnels de santé à Lyon) ; Les frais de gestion mensuels. Ils sont dû chaque mois et se déclinent selon le barème suivant:</t>
    </r>
  </si>
  <si>
    <t>Tranches d'honoraires</t>
  </si>
  <si>
    <t>Pourcentage appliqué</t>
  </si>
  <si>
    <t>inférieur à 750€ H.T.</t>
  </si>
  <si>
    <t>75€ H.T. forfaitaires mensuels</t>
  </si>
  <si>
    <t>HELIA : www.heliaportage.com</t>
  </si>
  <si>
    <t>de 751 à 1500€ H.T.</t>
  </si>
  <si>
    <t>9% du montant des honoraires H.T.</t>
  </si>
  <si>
    <t>de 1501 à 3000€ H.T.</t>
  </si>
  <si>
    <t>8% du montant des honoraires H.T.</t>
  </si>
  <si>
    <t>de 3001 à 4000€ H.T.</t>
  </si>
  <si>
    <t>7% du montant des honoraires H.T.</t>
  </si>
  <si>
    <t>de 4001 à 5000€ H.T.</t>
  </si>
  <si>
    <t>6% du montant des honoraires H.T.</t>
  </si>
  <si>
    <t>supérieur à 5001€ H.T.</t>
  </si>
  <si>
    <t>5% du montant des honoraires H.T.</t>
  </si>
  <si>
    <t>AACE</t>
  </si>
  <si>
    <t>Salaire chargé de la dirigeante (50 000 brut et 45000 net)</t>
  </si>
  <si>
    <t>Rému chargée Eve</t>
  </si>
  <si>
    <t>Diverses surprises</t>
  </si>
  <si>
    <t>REX</t>
  </si>
  <si>
    <t>Except</t>
  </si>
  <si>
    <t>Frais fi</t>
  </si>
  <si>
    <t>IS</t>
  </si>
  <si>
    <t>RN</t>
  </si>
  <si>
    <t>Entretien</t>
  </si>
  <si>
    <t>Sous traitance salaires</t>
  </si>
  <si>
    <t>Compatabilité</t>
  </si>
  <si>
    <t>MBA</t>
  </si>
  <si>
    <t>Capital +/-</t>
  </si>
  <si>
    <t>Dette fi +/-</t>
  </si>
  <si>
    <t>BFR+/-</t>
  </si>
  <si>
    <t>Disponibilités</t>
  </si>
  <si>
    <t>Compte courant +/-</t>
  </si>
  <si>
    <t>REX%CA</t>
  </si>
  <si>
    <t>Compte courant</t>
  </si>
  <si>
    <t>Dette Financière</t>
  </si>
  <si>
    <t>Dette fournisseurs</t>
  </si>
  <si>
    <t>Socfisc</t>
  </si>
  <si>
    <t>Autres passifs</t>
  </si>
  <si>
    <t>Total passif</t>
  </si>
  <si>
    <t>Immo incorpo</t>
  </si>
  <si>
    <t>Immo Fi</t>
  </si>
  <si>
    <t>Immo corpo</t>
  </si>
  <si>
    <t>Stocks</t>
  </si>
  <si>
    <t>Clients</t>
  </si>
  <si>
    <t>Autres actifs</t>
  </si>
  <si>
    <t>Dispo</t>
  </si>
  <si>
    <t>Immo fi</t>
  </si>
  <si>
    <t>total actif</t>
  </si>
  <si>
    <t>Check</t>
  </si>
  <si>
    <t>BILANS</t>
  </si>
  <si>
    <r>
      <t>Client</t>
    </r>
    <r>
      <rPr>
        <b/>
        <sz val="11"/>
        <color theme="1"/>
        <rFont val="Calibri"/>
        <family val="2"/>
        <scheme val="minor"/>
      </rPr>
      <t>s</t>
    </r>
  </si>
  <si>
    <t>Fournisseurs</t>
  </si>
  <si>
    <t>Delta BFR</t>
  </si>
  <si>
    <t>jours stocks</t>
  </si>
  <si>
    <t>jours clients</t>
  </si>
  <si>
    <t>jours fournisseurs</t>
  </si>
  <si>
    <t>TVA</t>
  </si>
  <si>
    <t>Amort. Incorpo</t>
  </si>
  <si>
    <t>Amort. corpo</t>
  </si>
  <si>
    <t>Hôtesses</t>
  </si>
  <si>
    <t>Informaticien</t>
  </si>
  <si>
    <t>EVELYNE</t>
  </si>
  <si>
    <t>AUTRES</t>
  </si>
  <si>
    <t>CAPITAL</t>
  </si>
  <si>
    <t>Evelyne</t>
  </si>
  <si>
    <t>Autres</t>
  </si>
  <si>
    <t>total</t>
  </si>
  <si>
    <t>Crowd Funding</t>
  </si>
  <si>
    <t>DIAPOVENTES</t>
  </si>
  <si>
    <t>DIAPO CPTE EXPL</t>
  </si>
  <si>
    <t>DIAPO FINANCEMENTS</t>
  </si>
  <si>
    <t>Cptes financement</t>
  </si>
  <si>
    <t>DIAPO BILANS</t>
  </si>
  <si>
    <t>DIAPO BFR</t>
  </si>
  <si>
    <t>CPTES EXPLOITATION</t>
  </si>
  <si>
    <t xml:space="preserve">BUSINESS PLAN KHEPRISANTE </t>
  </si>
  <si>
    <t xml:space="preserve">salaire Financier </t>
  </si>
  <si>
    <t>edf</t>
  </si>
  <si>
    <t>Ca propres</t>
  </si>
  <si>
    <t>salarié et charges</t>
  </si>
  <si>
    <t>CA propre evelyne</t>
  </si>
  <si>
    <t xml:space="preserve"> CA thera fixe</t>
  </si>
  <si>
    <t>MAD cabines /variable</t>
  </si>
  <si>
    <t>2015/2016</t>
  </si>
  <si>
    <t>2016/2017</t>
  </si>
  <si>
    <t>2017/2018</t>
  </si>
  <si>
    <t>2018/2019</t>
  </si>
  <si>
    <t>2019/2020</t>
  </si>
  <si>
    <t xml:space="preserve">MAD intervenant fixe </t>
  </si>
  <si>
    <t>community manager</t>
  </si>
  <si>
    <t xml:space="preserve">MAD intervenant varaible </t>
  </si>
  <si>
    <t>total h/mois</t>
  </si>
  <si>
    <t>nbre h/An</t>
  </si>
  <si>
    <t>vendu</t>
  </si>
  <si>
    <t>nbre souhaité</t>
  </si>
  <si>
    <t>prix /annuel</t>
  </si>
  <si>
    <t xml:space="preserve">Adhésion au centre </t>
  </si>
  <si>
    <t>C.A Evelyne</t>
  </si>
  <si>
    <t>visite /annuelle</t>
  </si>
  <si>
    <t>taux reel</t>
  </si>
  <si>
    <t>CA vendu</t>
  </si>
  <si>
    <t xml:space="preserve">Patients/Mois </t>
  </si>
  <si>
    <t>prix/Annuel</t>
  </si>
  <si>
    <t>Taux réel</t>
  </si>
  <si>
    <t>taux réel</t>
  </si>
  <si>
    <t>nbre h/Annuel</t>
  </si>
  <si>
    <t>2016/2017 FIXE</t>
  </si>
  <si>
    <t>2015/2016 EVELYNE</t>
  </si>
  <si>
    <t>2016/2017 ADHESION</t>
  </si>
  <si>
    <t>2016/2017 VARIABLE</t>
  </si>
  <si>
    <t xml:space="preserve">2017/2018 FIXE </t>
  </si>
  <si>
    <t>2017/2018 EVELYNE</t>
  </si>
  <si>
    <t>2017/2018 ADHESION</t>
  </si>
  <si>
    <t>2017/2018 VARIABLE</t>
  </si>
  <si>
    <t xml:space="preserve">2018/2019 FIXE </t>
  </si>
  <si>
    <t>2018/2019 EVELYNE</t>
  </si>
  <si>
    <t>2018/2019 ADHESION</t>
  </si>
  <si>
    <t>2018/2019 VARIABLE</t>
  </si>
  <si>
    <t>2019/2020 FIXE</t>
  </si>
  <si>
    <t>2019/2020 EVELYNE</t>
  </si>
  <si>
    <t>2019/2020 ADHESION</t>
  </si>
  <si>
    <t>2019/2020 VARIABLE</t>
  </si>
  <si>
    <t xml:space="preserve">salles: Variables </t>
  </si>
  <si>
    <t>adhesion</t>
  </si>
  <si>
    <t>Adhesion Maximun</t>
  </si>
  <si>
    <t>Pourcentage réel annuel</t>
  </si>
  <si>
    <t xml:space="preserve">tx d'occupation </t>
  </si>
  <si>
    <t>et Fixes</t>
  </si>
  <si>
    <t>MAD intervenant fixe salle 2</t>
  </si>
  <si>
    <t xml:space="preserve">8 salles </t>
  </si>
  <si>
    <t>9h/jours</t>
  </si>
  <si>
    <t>6 jours/semaines</t>
  </si>
  <si>
    <t xml:space="preserve">11 mois </t>
  </si>
  <si>
    <t>total 1728 h/mois</t>
  </si>
  <si>
    <t>soit 19008 h/An</t>
  </si>
  <si>
    <t>nbre h/An à 100%</t>
  </si>
  <si>
    <t>prix horaire</t>
  </si>
  <si>
    <t>tx d'occupation plein</t>
  </si>
  <si>
    <t xml:space="preserve">CA prévisionnel </t>
  </si>
  <si>
    <t>total h/mois à 100%</t>
  </si>
  <si>
    <t>MAD intervenant fixe salle 1</t>
  </si>
  <si>
    <t>coworking</t>
  </si>
  <si>
    <t>prix loyer fixe</t>
  </si>
  <si>
    <t>Montant/mois</t>
  </si>
  <si>
    <t>prix horaire =</t>
  </si>
  <si>
    <t>PLEIN</t>
  </si>
  <si>
    <t>REEL</t>
  </si>
  <si>
    <t xml:space="preserve"> A vendre</t>
  </si>
  <si>
    <t>Résultat K€</t>
  </si>
  <si>
    <t>2020/2021</t>
  </si>
  <si>
    <t>2016/2017 Forfait</t>
  </si>
  <si>
    <t>MAD forfait</t>
  </si>
  <si>
    <t>2016/2017 FIXE salle 1</t>
  </si>
  <si>
    <t>2016/2017 FIXE salle 2</t>
  </si>
  <si>
    <t>nombre hr Annuel</t>
  </si>
  <si>
    <t>2017/2018  FIXE salle 1</t>
  </si>
  <si>
    <t>2017/2018 FIXE salle 2</t>
  </si>
  <si>
    <t>2017/2018 Forfait</t>
  </si>
  <si>
    <t>Khepri santé 1</t>
  </si>
  <si>
    <t>Khepri santé 2</t>
  </si>
  <si>
    <t xml:space="preserve">Centre Nogent </t>
  </si>
  <si>
    <t xml:space="preserve">Seconde centre </t>
  </si>
  <si>
    <t>2018/2019  FIXE salle 1</t>
  </si>
  <si>
    <t>2018/2019 FIXE salle 2</t>
  </si>
  <si>
    <t>2018/2019 Forfait</t>
  </si>
  <si>
    <t>7 300 €</t>
  </si>
  <si>
    <t>8 103 €</t>
  </si>
  <si>
    <t>8 994 €</t>
  </si>
  <si>
    <t>9 984 €</t>
  </si>
  <si>
    <t>11 082 €</t>
  </si>
  <si>
    <t>12 301 €</t>
  </si>
  <si>
    <t>1 087</t>
  </si>
  <si>
    <t>13 654 €</t>
  </si>
  <si>
    <t>1 206</t>
  </si>
  <si>
    <t>15 156 €</t>
  </si>
  <si>
    <t>1 339</t>
  </si>
  <si>
    <t>16 823 €</t>
  </si>
  <si>
    <t>1 486</t>
  </si>
  <si>
    <t>18 674 €</t>
  </si>
  <si>
    <t>1 650</t>
  </si>
  <si>
    <t>20 728 €</t>
  </si>
  <si>
    <t>1 831</t>
  </si>
  <si>
    <t>23 008 €</t>
  </si>
  <si>
    <t>2 033</t>
  </si>
  <si>
    <t>25 539 €</t>
  </si>
  <si>
    <t>2 256</t>
  </si>
  <si>
    <t>28 348 €</t>
  </si>
  <si>
    <t>2 504</t>
  </si>
  <si>
    <t>31 466 €</t>
  </si>
  <si>
    <t>2 780</t>
  </si>
  <si>
    <t>34 927 €</t>
  </si>
  <si>
    <t>3 086</t>
  </si>
  <si>
    <t>38 769 €</t>
  </si>
  <si>
    <t>3 425</t>
  </si>
  <si>
    <t>43 034 €</t>
  </si>
  <si>
    <t>3 802</t>
  </si>
  <si>
    <t>47 768 €</t>
  </si>
  <si>
    <t>4 220</t>
  </si>
  <si>
    <t>53 022 €</t>
  </si>
  <si>
    <t>4 684</t>
  </si>
  <si>
    <t>2019/2020  FIXE salle 1</t>
  </si>
  <si>
    <t>2019/2020 FIXE salle 2</t>
  </si>
  <si>
    <t>2019/2020 Forfait</t>
  </si>
  <si>
    <t xml:space="preserve">Second Centre  </t>
  </si>
  <si>
    <t>2020/2021  FIXE salle 1</t>
  </si>
  <si>
    <t>2020/2021 FIXE salle 2</t>
  </si>
  <si>
    <t>2020/2021 EVELYNE</t>
  </si>
  <si>
    <t>2020/2021 ADHESION</t>
  </si>
  <si>
    <t>2020/2021 Forfait</t>
  </si>
  <si>
    <t>report dépenses départ centre 2</t>
  </si>
  <si>
    <t xml:space="preserve">Second centre </t>
  </si>
  <si>
    <t>Année fiscale : 1 Septembre-31 Aout</t>
  </si>
  <si>
    <t xml:space="preserve">Adhésion mensuelle 41,58€ HT </t>
  </si>
  <si>
    <t>Prévisionnel</t>
  </si>
  <si>
    <t>CA Realisé</t>
  </si>
  <si>
    <t>CA Réalisé</t>
  </si>
  <si>
    <t>Heure réalisée</t>
  </si>
  <si>
    <t xml:space="preserve">Centre 1 Nogent </t>
  </si>
  <si>
    <t>Cumul</t>
  </si>
  <si>
    <t xml:space="preserve"> Abonnement centre Nogent</t>
  </si>
  <si>
    <t xml:space="preserve"> Abonnement seconde centre</t>
  </si>
  <si>
    <t xml:space="preserve"> CA intervenants  fixe Centre nogent</t>
  </si>
  <si>
    <t xml:space="preserve"> CA intervenants  fixe second Centre </t>
  </si>
  <si>
    <t>MAD salle /forfait centre Nogent</t>
  </si>
  <si>
    <t>MAD salle /forfait second centre</t>
  </si>
  <si>
    <t>Frais fi prêt 27200 €</t>
  </si>
  <si>
    <t>Frais fi prêt 40000 €</t>
  </si>
  <si>
    <t>Remboursement dettes 27200 €</t>
  </si>
  <si>
    <t>Remboursement dettes 40000€</t>
  </si>
  <si>
    <t>Dette d'exploitation</t>
  </si>
  <si>
    <t xml:space="preserve">Comptabilité </t>
  </si>
  <si>
    <t>AACE*</t>
  </si>
  <si>
    <t>Marketing*</t>
  </si>
  <si>
    <t>Location + charges Locatives</t>
  </si>
  <si>
    <t>Décoration,Receptions,Poste,Internet,  Telephone,Eau-Gaz,Four entr&amp;petits equipement,Fourn Admin</t>
  </si>
  <si>
    <t xml:space="preserve">Informaticien sous traitance Maintenance </t>
  </si>
  <si>
    <t>Sous traitance honoraire*</t>
  </si>
  <si>
    <t>Diverses surprises*</t>
  </si>
  <si>
    <t>Frais d'actes et contentieux</t>
  </si>
  <si>
    <t>L'eventail du savoir,NJ Press,Police Municipale,Marie de nogent,FFE,Call Pact….</t>
  </si>
  <si>
    <t xml:space="preserve">Dotation aux amortissements </t>
  </si>
  <si>
    <t>charges divers de gestion courante</t>
  </si>
  <si>
    <t>Assurance et commissions</t>
  </si>
  <si>
    <t>Impôt,taxes et versments assimiles</t>
  </si>
  <si>
    <t>Marketing pub et publications*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</si>
</sst>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_);[Red]\(#,##0\)"/>
    <numFmt numFmtId="165" formatCode="0.0"/>
    <numFmt numFmtId="166" formatCode="_-* #,##0.00\ [$€-40C]_-;\-* #,##0.00\ [$€-40C]_-;_-* &quot;-&quot;??\ [$€-40C]_-;_-@_-"/>
    <numFmt numFmtId="167" formatCode="0.0%"/>
    <numFmt numFmtId="168" formatCode="0.000%"/>
    <numFmt numFmtId="169" formatCode="0.0000%"/>
    <numFmt numFmtId="170" formatCode="_-* #,##0\ &quot;€&quot;_-;\-* #,##0\ &quot;€&quot;_-;_-* &quot;-&quot;??\ &quot;€&quot;_-;_-@_-"/>
    <numFmt numFmtId="171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7"/>
      <color rgb="FF1F497D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dotted">
        <color rgb="FFCCCCCC"/>
      </right>
      <top style="thin">
        <color rgb="FF000000"/>
      </top>
      <bottom style="dotted">
        <color rgb="FFCCCCCC"/>
      </bottom>
      <diagonal/>
    </border>
    <border>
      <left/>
      <right style="thin">
        <color rgb="FF000000"/>
      </right>
      <top style="thin">
        <color rgb="FF000000"/>
      </top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dotted">
        <color rgb="FFCCCCCC"/>
      </bottom>
      <diagonal/>
    </border>
    <border>
      <left/>
      <right style="thin">
        <color rgb="FF000000"/>
      </right>
      <top/>
      <bottom style="dotted">
        <color rgb="FFCCCCCC"/>
      </bottom>
      <diagonal/>
    </border>
    <border>
      <left style="thin">
        <color rgb="FF000000"/>
      </left>
      <right style="dotted">
        <color rgb="FFCCCCCC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2">
    <xf numFmtId="0" fontId="0" fillId="0" borderId="0" xfId="0"/>
    <xf numFmtId="9" fontId="0" fillId="0" borderId="0" xfId="0" applyNumberFormat="1"/>
    <xf numFmtId="0" fontId="0" fillId="0" borderId="1" xfId="0" applyBorder="1"/>
    <xf numFmtId="9" fontId="0" fillId="0" borderId="1" xfId="0" applyNumberFormat="1" applyBorder="1"/>
    <xf numFmtId="0" fontId="0" fillId="2" borderId="1" xfId="0" applyFill="1" applyBorder="1"/>
    <xf numFmtId="2" fontId="0" fillId="0" borderId="0" xfId="0" applyNumberFormat="1"/>
    <xf numFmtId="2" fontId="0" fillId="2" borderId="0" xfId="0" applyNumberFormat="1" applyFill="1"/>
    <xf numFmtId="1" fontId="0" fillId="0" borderId="0" xfId="0" applyNumberFormat="1"/>
    <xf numFmtId="0" fontId="3" fillId="0" borderId="0" xfId="0" applyFont="1"/>
    <xf numFmtId="0" fontId="0" fillId="0" borderId="2" xfId="0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" fontId="0" fillId="0" borderId="1" xfId="0" applyNumberFormat="1" applyBorder="1"/>
    <xf numFmtId="0" fontId="3" fillId="0" borderId="2" xfId="0" applyFont="1" applyBorder="1"/>
    <xf numFmtId="3" fontId="4" fillId="0" borderId="0" xfId="0" applyNumberFormat="1" applyFont="1" applyBorder="1"/>
    <xf numFmtId="3" fontId="0" fillId="0" borderId="0" xfId="0" applyNumberFormat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1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4" borderId="9" xfId="0" applyNumberFormat="1" applyFill="1" applyBorder="1"/>
    <xf numFmtId="3" fontId="0" fillId="4" borderId="10" xfId="0" applyNumberFormat="1" applyFill="1" applyBorder="1"/>
    <xf numFmtId="3" fontId="0" fillId="5" borderId="7" xfId="0" applyNumberFormat="1" applyFill="1" applyBorder="1"/>
    <xf numFmtId="3" fontId="0" fillId="4" borderId="1" xfId="0" applyNumberFormat="1" applyFill="1" applyBorder="1"/>
    <xf numFmtId="3" fontId="0" fillId="5" borderId="1" xfId="0" applyNumberFormat="1" applyFill="1" applyBorder="1"/>
    <xf numFmtId="3" fontId="3" fillId="0" borderId="0" xfId="0" applyNumberFormat="1" applyFont="1" applyBorder="1"/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0" fillId="6" borderId="1" xfId="0" applyNumberFormat="1" applyFill="1" applyBorder="1"/>
    <xf numFmtId="3" fontId="0" fillId="6" borderId="7" xfId="0" applyNumberFormat="1" applyFill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3" fontId="0" fillId="0" borderId="3" xfId="0" applyNumberFormat="1" applyBorder="1" applyAlignment="1">
      <alignment horizontal="right"/>
    </xf>
    <xf numFmtId="164" fontId="0" fillId="0" borderId="1" xfId="0" applyNumberFormat="1" applyBorder="1"/>
    <xf numFmtId="164" fontId="0" fillId="0" borderId="7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2" fontId="3" fillId="0" borderId="0" xfId="0" applyNumberFormat="1" applyFont="1"/>
    <xf numFmtId="0" fontId="6" fillId="0" borderId="0" xfId="0" applyFont="1"/>
    <xf numFmtId="0" fontId="7" fillId="0" borderId="0" xfId="0" applyFont="1"/>
    <xf numFmtId="4" fontId="0" fillId="0" borderId="0" xfId="0" applyNumberFormat="1"/>
    <xf numFmtId="3" fontId="0" fillId="0" borderId="0" xfId="0" applyNumberFormat="1"/>
    <xf numFmtId="3" fontId="3" fillId="0" borderId="0" xfId="0" applyNumberFormat="1" applyFont="1"/>
    <xf numFmtId="4" fontId="3" fillId="0" borderId="0" xfId="0" applyNumberFormat="1" applyFont="1"/>
    <xf numFmtId="0" fontId="6" fillId="0" borderId="0" xfId="0" applyFont="1" applyAlignment="1">
      <alignment horizontal="left" indent="5"/>
    </xf>
    <xf numFmtId="0" fontId="1" fillId="0" borderId="0" xfId="0" applyFont="1"/>
    <xf numFmtId="0" fontId="1" fillId="0" borderId="0" xfId="0" applyFont="1" applyAlignment="1">
      <alignment horizontal="left" indent="5"/>
    </xf>
    <xf numFmtId="0" fontId="0" fillId="0" borderId="0" xfId="0" applyAlignment="1">
      <alignment horizontal="left" indent="6"/>
    </xf>
    <xf numFmtId="0" fontId="10" fillId="7" borderId="11" xfId="0" applyFont="1" applyFill="1" applyBorder="1" applyAlignment="1">
      <alignment wrapText="1"/>
    </xf>
    <xf numFmtId="0" fontId="10" fillId="7" borderId="12" xfId="0" applyFont="1" applyFill="1" applyBorder="1" applyAlignment="1">
      <alignment horizontal="center" wrapText="1"/>
    </xf>
    <xf numFmtId="0" fontId="11" fillId="8" borderId="13" xfId="0" applyFont="1" applyFill="1" applyBorder="1" applyAlignment="1">
      <alignment wrapText="1"/>
    </xf>
    <xf numFmtId="0" fontId="11" fillId="8" borderId="14" xfId="0" applyFont="1" applyFill="1" applyBorder="1" applyAlignment="1">
      <alignment horizontal="center" wrapText="1"/>
    </xf>
    <xf numFmtId="0" fontId="2" fillId="0" borderId="0" xfId="0" applyFont="1"/>
    <xf numFmtId="0" fontId="11" fillId="9" borderId="13" xfId="0" applyFont="1" applyFill="1" applyBorder="1" applyAlignment="1">
      <alignment wrapText="1"/>
    </xf>
    <xf numFmtId="0" fontId="11" fillId="9" borderId="14" xfId="0" applyFont="1" applyFill="1" applyBorder="1" applyAlignment="1">
      <alignment horizontal="center" wrapText="1"/>
    </xf>
    <xf numFmtId="0" fontId="11" fillId="9" borderId="15" xfId="0" applyFont="1" applyFill="1" applyBorder="1" applyAlignment="1">
      <alignment wrapText="1"/>
    </xf>
    <xf numFmtId="0" fontId="11" fillId="9" borderId="16" xfId="0" applyFont="1" applyFill="1" applyBorder="1" applyAlignment="1">
      <alignment horizontal="center" wrapText="1"/>
    </xf>
    <xf numFmtId="3" fontId="0" fillId="2" borderId="0" xfId="0" applyNumberFormat="1" applyFill="1"/>
    <xf numFmtId="0" fontId="0" fillId="0" borderId="1" xfId="0" applyFill="1" applyBorder="1"/>
    <xf numFmtId="0" fontId="3" fillId="0" borderId="1" xfId="0" applyFont="1" applyFill="1" applyBorder="1"/>
    <xf numFmtId="9" fontId="3" fillId="0" borderId="1" xfId="1" applyFont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0" xfId="0" applyNumberFormat="1"/>
    <xf numFmtId="165" fontId="3" fillId="0" borderId="1" xfId="0" applyNumberFormat="1" applyFont="1" applyBorder="1"/>
    <xf numFmtId="0" fontId="3" fillId="0" borderId="0" xfId="0" applyFont="1" applyFill="1" applyBorder="1"/>
    <xf numFmtId="165" fontId="3" fillId="0" borderId="0" xfId="0" applyNumberFormat="1" applyFont="1" applyBorder="1"/>
    <xf numFmtId="3" fontId="0" fillId="0" borderId="22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0" fontId="0" fillId="0" borderId="1" xfId="0" applyBorder="1"/>
    <xf numFmtId="0" fontId="3" fillId="0" borderId="1" xfId="0" applyFont="1" applyBorder="1"/>
    <xf numFmtId="0" fontId="0" fillId="0" borderId="1" xfId="0" applyFill="1" applyBorder="1"/>
    <xf numFmtId="0" fontId="3" fillId="0" borderId="1" xfId="0" applyFon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3" fillId="0" borderId="1" xfId="0" applyNumberFormat="1" applyFont="1" applyBorder="1"/>
    <xf numFmtId="0" fontId="0" fillId="0" borderId="1" xfId="0" applyBorder="1"/>
    <xf numFmtId="0" fontId="3" fillId="0" borderId="1" xfId="0" applyFont="1" applyBorder="1"/>
    <xf numFmtId="0" fontId="0" fillId="0" borderId="1" xfId="0" applyFill="1" applyBorder="1"/>
    <xf numFmtId="165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3" fillId="0" borderId="1" xfId="0" applyFont="1" applyFill="1" applyBorder="1"/>
    <xf numFmtId="165" fontId="0" fillId="0" borderId="1" xfId="0" applyNumberFormat="1" applyBorder="1"/>
    <xf numFmtId="0" fontId="0" fillId="0" borderId="1" xfId="0" applyBorder="1"/>
    <xf numFmtId="0" fontId="3" fillId="0" borderId="1" xfId="0" applyFont="1" applyBorder="1"/>
    <xf numFmtId="0" fontId="0" fillId="0" borderId="1" xfId="0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9" fontId="0" fillId="0" borderId="1" xfId="0" applyNumberFormat="1" applyBorder="1"/>
    <xf numFmtId="166" fontId="0" fillId="0" borderId="1" xfId="0" applyNumberFormat="1" applyBorder="1"/>
    <xf numFmtId="0" fontId="0" fillId="3" borderId="1" xfId="0" applyFill="1" applyBorder="1"/>
    <xf numFmtId="9" fontId="0" fillId="0" borderId="1" xfId="1" applyFont="1" applyBorder="1"/>
    <xf numFmtId="166" fontId="0" fillId="0" borderId="1" xfId="1" applyNumberFormat="1" applyFont="1" applyBorder="1"/>
    <xf numFmtId="9" fontId="0" fillId="2" borderId="1" xfId="1" applyFont="1" applyFill="1" applyBorder="1"/>
    <xf numFmtId="0" fontId="0" fillId="2" borderId="1" xfId="0" applyFill="1" applyBorder="1" applyAlignment="1">
      <alignment horizontal="right"/>
    </xf>
    <xf numFmtId="1" fontId="0" fillId="3" borderId="1" xfId="0" applyNumberFormat="1" applyFill="1" applyBorder="1"/>
    <xf numFmtId="9" fontId="0" fillId="3" borderId="1" xfId="1" applyFont="1" applyFill="1" applyBorder="1"/>
    <xf numFmtId="9" fontId="0" fillId="3" borderId="1" xfId="0" applyNumberFormat="1" applyFill="1" applyBorder="1"/>
    <xf numFmtId="166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10" borderId="1" xfId="0" applyFill="1" applyBorder="1" applyAlignment="1">
      <alignment horizontal="right"/>
    </xf>
    <xf numFmtId="2" fontId="0" fillId="0" borderId="1" xfId="0" applyNumberFormat="1" applyBorder="1"/>
    <xf numFmtId="165" fontId="0" fillId="3" borderId="1" xfId="0" applyNumberFormat="1" applyFill="1" applyBorder="1"/>
    <xf numFmtId="0" fontId="0" fillId="10" borderId="1" xfId="0" applyFill="1" applyBorder="1"/>
    <xf numFmtId="0" fontId="0" fillId="11" borderId="1" xfId="0" applyFill="1" applyBorder="1" applyAlignment="1">
      <alignment horizontal="right"/>
    </xf>
    <xf numFmtId="0" fontId="0" fillId="11" borderId="1" xfId="0" applyFill="1" applyBorder="1"/>
    <xf numFmtId="0" fontId="0" fillId="12" borderId="1" xfId="0" applyFill="1" applyBorder="1" applyAlignment="1">
      <alignment horizontal="right"/>
    </xf>
    <xf numFmtId="0" fontId="0" fillId="12" borderId="1" xfId="0" applyFill="1" applyBorder="1"/>
    <xf numFmtId="0" fontId="0" fillId="13" borderId="1" xfId="0" applyFill="1" applyBorder="1" applyAlignment="1">
      <alignment horizontal="right"/>
    </xf>
    <xf numFmtId="0" fontId="0" fillId="13" borderId="1" xfId="0" applyFill="1" applyBorder="1"/>
    <xf numFmtId="0" fontId="3" fillId="13" borderId="1" xfId="0" applyFont="1" applyFill="1" applyBorder="1"/>
    <xf numFmtId="0" fontId="3" fillId="12" borderId="1" xfId="0" applyFont="1" applyFill="1" applyBorder="1"/>
    <xf numFmtId="0" fontId="3" fillId="11" borderId="1" xfId="0" applyFont="1" applyFill="1" applyBorder="1"/>
    <xf numFmtId="0" fontId="3" fillId="10" borderId="1" xfId="0" applyFont="1" applyFill="1" applyBorder="1"/>
    <xf numFmtId="0" fontId="3" fillId="3" borderId="2" xfId="0" applyFont="1" applyFill="1" applyBorder="1"/>
    <xf numFmtId="0" fontId="3" fillId="3" borderId="1" xfId="0" applyFont="1" applyFill="1" applyBorder="1"/>
    <xf numFmtId="165" fontId="3" fillId="3" borderId="1" xfId="0" applyNumberFormat="1" applyFont="1" applyFill="1" applyBorder="1"/>
    <xf numFmtId="2" fontId="0" fillId="3" borderId="1" xfId="0" applyNumberFormat="1" applyFill="1" applyBorder="1"/>
    <xf numFmtId="3" fontId="0" fillId="0" borderId="17" xfId="0" applyNumberFormat="1" applyBorder="1"/>
    <xf numFmtId="9" fontId="0" fillId="5" borderId="1" xfId="1" applyFont="1" applyFill="1" applyBorder="1"/>
    <xf numFmtId="166" fontId="0" fillId="5" borderId="1" xfId="0" applyNumberFormat="1" applyFill="1" applyBorder="1"/>
    <xf numFmtId="167" fontId="0" fillId="3" borderId="1" xfId="1" applyNumberFormat="1" applyFont="1" applyFill="1" applyBorder="1"/>
    <xf numFmtId="10" fontId="0" fillId="3" borderId="1" xfId="0" applyNumberFormat="1" applyFill="1" applyBorder="1"/>
    <xf numFmtId="10" fontId="0" fillId="3" borderId="1" xfId="1" applyNumberFormat="1" applyFont="1" applyFill="1" applyBorder="1"/>
    <xf numFmtId="168" fontId="0" fillId="3" borderId="1" xfId="0" applyNumberFormat="1" applyFill="1" applyBorder="1"/>
    <xf numFmtId="0" fontId="3" fillId="2" borderId="2" xfId="0" applyFont="1" applyFill="1" applyBorder="1" applyAlignment="1"/>
    <xf numFmtId="44" fontId="0" fillId="0" borderId="1" xfId="2" applyFont="1" applyBorder="1"/>
    <xf numFmtId="169" fontId="0" fillId="0" borderId="1" xfId="1" applyNumberFormat="1" applyFont="1" applyBorder="1"/>
    <xf numFmtId="0" fontId="0" fillId="0" borderId="0" xfId="0" applyAlignment="1">
      <alignment horizontal="center"/>
    </xf>
    <xf numFmtId="167" fontId="0" fillId="0" borderId="1" xfId="1" applyNumberFormat="1" applyFont="1" applyBorder="1"/>
    <xf numFmtId="0" fontId="0" fillId="0" borderId="1" xfId="0" applyBorder="1" applyAlignment="1">
      <alignment horizontal="center"/>
    </xf>
    <xf numFmtId="166" fontId="0" fillId="0" borderId="0" xfId="0" applyNumberFormat="1" applyBorder="1"/>
    <xf numFmtId="170" fontId="0" fillId="0" borderId="1" xfId="2" applyNumberFormat="1" applyFont="1" applyBorder="1"/>
    <xf numFmtId="2" fontId="0" fillId="0" borderId="1" xfId="2" applyNumberFormat="1" applyFont="1" applyBorder="1"/>
    <xf numFmtId="0" fontId="0" fillId="0" borderId="1" xfId="0" applyBorder="1" applyAlignment="1">
      <alignment horizontal="center"/>
    </xf>
    <xf numFmtId="0" fontId="3" fillId="14" borderId="1" xfId="0" applyFont="1" applyFill="1" applyBorder="1"/>
    <xf numFmtId="2" fontId="0" fillId="0" borderId="0" xfId="0" applyNumberFormat="1" applyBorder="1"/>
    <xf numFmtId="0" fontId="0" fillId="16" borderId="1" xfId="0" applyFill="1" applyBorder="1"/>
    <xf numFmtId="0" fontId="0" fillId="0" borderId="25" xfId="0" applyBorder="1" applyAlignment="1">
      <alignment horizontal="center"/>
    </xf>
    <xf numFmtId="0" fontId="12" fillId="15" borderId="27" xfId="0" applyFont="1" applyFill="1" applyBorder="1" applyAlignment="1">
      <alignment horizontal="right" wrapText="1"/>
    </xf>
    <xf numFmtId="0" fontId="12" fillId="0" borderId="28" xfId="0" applyFont="1" applyBorder="1" applyAlignment="1">
      <alignment horizontal="right" wrapText="1"/>
    </xf>
    <xf numFmtId="0" fontId="12" fillId="15" borderId="29" xfId="0" applyFont="1" applyFill="1" applyBorder="1" applyAlignment="1">
      <alignment horizontal="right" wrapText="1"/>
    </xf>
    <xf numFmtId="0" fontId="12" fillId="0" borderId="30" xfId="0" applyFont="1" applyBorder="1" applyAlignment="1">
      <alignment horizontal="right" wrapText="1"/>
    </xf>
    <xf numFmtId="0" fontId="0" fillId="14" borderId="1" xfId="0" applyFill="1" applyBorder="1" applyAlignment="1">
      <alignment horizontal="right"/>
    </xf>
    <xf numFmtId="0" fontId="0" fillId="14" borderId="1" xfId="0" applyFill="1" applyBorder="1"/>
    <xf numFmtId="0" fontId="0" fillId="14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26" xfId="0" applyFill="1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0" xfId="0" applyFill="1" applyBorder="1" applyAlignment="1">
      <alignment horizontal="center"/>
    </xf>
    <xf numFmtId="166" fontId="0" fillId="3" borderId="0" xfId="0" applyNumberFormat="1" applyFill="1" applyBorder="1"/>
    <xf numFmtId="9" fontId="0" fillId="3" borderId="0" xfId="0" applyNumberFormat="1" applyFill="1" applyBorder="1"/>
    <xf numFmtId="0" fontId="0" fillId="0" borderId="0" xfId="0" applyBorder="1" applyAlignment="1">
      <alignment horizontal="center"/>
    </xf>
    <xf numFmtId="165" fontId="3" fillId="11" borderId="1" xfId="0" applyNumberFormat="1" applyFont="1" applyFill="1" applyBorder="1"/>
    <xf numFmtId="171" fontId="0" fillId="3" borderId="1" xfId="0" applyNumberFormat="1" applyFill="1" applyBorder="1"/>
    <xf numFmtId="43" fontId="0" fillId="3" borderId="1" xfId="3" applyFont="1" applyFill="1" applyBorder="1"/>
    <xf numFmtId="1" fontId="0" fillId="2" borderId="1" xfId="0" applyNumberFormat="1" applyFill="1" applyBorder="1"/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0" fillId="14" borderId="26" xfId="0" applyFill="1" applyBorder="1"/>
    <xf numFmtId="0" fontId="0" fillId="14" borderId="17" xfId="0" applyFill="1" applyBorder="1"/>
    <xf numFmtId="0" fontId="0" fillId="14" borderId="1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26" xfId="0" applyFill="1" applyBorder="1"/>
    <xf numFmtId="0" fontId="0" fillId="13" borderId="17" xfId="0" applyFill="1" applyBorder="1"/>
    <xf numFmtId="0" fontId="0" fillId="13" borderId="1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26" xfId="0" applyFill="1" applyBorder="1"/>
    <xf numFmtId="0" fontId="0" fillId="12" borderId="17" xfId="0" applyFill="1" applyBorder="1"/>
    <xf numFmtId="0" fontId="0" fillId="12" borderId="1" xfId="0" applyFill="1" applyBorder="1" applyAlignment="1">
      <alignment horizontal="center"/>
    </xf>
    <xf numFmtId="0" fontId="0" fillId="12" borderId="26" xfId="0" applyFill="1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26" xfId="0" applyFill="1" applyBorder="1"/>
    <xf numFmtId="0" fontId="0" fillId="11" borderId="17" xfId="0" applyFill="1" applyBorder="1"/>
    <xf numFmtId="0" fontId="0" fillId="10" borderId="2" xfId="0" applyFill="1" applyBorder="1" applyAlignment="1">
      <alignment horizontal="center"/>
    </xf>
    <xf numFmtId="0" fontId="0" fillId="0" borderId="26" xfId="0" applyBorder="1"/>
    <xf numFmtId="0" fontId="0" fillId="0" borderId="17" xfId="0" applyBorder="1"/>
    <xf numFmtId="0" fontId="0" fillId="11" borderId="26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0" fillId="10" borderId="2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3" borderId="26" xfId="0" applyFill="1" applyBorder="1" applyAlignment="1">
      <alignment horizontal="center"/>
    </xf>
    <xf numFmtId="0" fontId="0" fillId="13" borderId="17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</cellXfs>
  <cellStyles count="4">
    <cellStyle name="Milliers" xfId="3" builtinId="3"/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47</xdr:row>
      <xdr:rowOff>123825</xdr:rowOff>
    </xdr:from>
    <xdr:to>
      <xdr:col>10</xdr:col>
      <xdr:colOff>485775</xdr:colOff>
      <xdr:row>50</xdr:row>
      <xdr:rowOff>114300</xdr:rowOff>
    </xdr:to>
    <xdr:cxnSp macro="">
      <xdr:nvCxnSpPr>
        <xdr:cNvPr id="3" name="Connecteur droit avec flèche 2"/>
        <xdr:cNvCxnSpPr/>
      </xdr:nvCxnSpPr>
      <xdr:spPr>
        <a:xfrm>
          <a:off x="1857375" y="6600825"/>
          <a:ext cx="3876675" cy="371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66114</xdr:colOff>
      <xdr:row>46</xdr:row>
      <xdr:rowOff>53229</xdr:rowOff>
    </xdr:from>
    <xdr:to>
      <xdr:col>10</xdr:col>
      <xdr:colOff>567578</xdr:colOff>
      <xdr:row>48</xdr:row>
      <xdr:rowOff>24655</xdr:rowOff>
    </xdr:to>
    <xdr:cxnSp macro="">
      <xdr:nvCxnSpPr>
        <xdr:cNvPr id="5" name="Connecteur droit avec flèche 4"/>
        <xdr:cNvCxnSpPr/>
      </xdr:nvCxnSpPr>
      <xdr:spPr>
        <a:xfrm flipV="1">
          <a:off x="3248585" y="8816229"/>
          <a:ext cx="5734611" cy="3524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53</xdr:row>
      <xdr:rowOff>123825</xdr:rowOff>
    </xdr:from>
    <xdr:to>
      <xdr:col>7</xdr:col>
      <xdr:colOff>485775</xdr:colOff>
      <xdr:row>55</xdr:row>
      <xdr:rowOff>114300</xdr:rowOff>
    </xdr:to>
    <xdr:cxnSp macro="">
      <xdr:nvCxnSpPr>
        <xdr:cNvPr id="2" name="Connecteur droit avec flèche 1"/>
        <xdr:cNvCxnSpPr/>
      </xdr:nvCxnSpPr>
      <xdr:spPr>
        <a:xfrm>
          <a:off x="1857375" y="6600825"/>
          <a:ext cx="3876675" cy="371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51</xdr:row>
      <xdr:rowOff>19050</xdr:rowOff>
    </xdr:from>
    <xdr:to>
      <xdr:col>7</xdr:col>
      <xdr:colOff>476250</xdr:colOff>
      <xdr:row>52</xdr:row>
      <xdr:rowOff>180976</xdr:rowOff>
    </xdr:to>
    <xdr:cxnSp macro="">
      <xdr:nvCxnSpPr>
        <xdr:cNvPr id="3" name="Connecteur droit avec flèche 2"/>
        <xdr:cNvCxnSpPr/>
      </xdr:nvCxnSpPr>
      <xdr:spPr>
        <a:xfrm flipV="1">
          <a:off x="1943100" y="9734550"/>
          <a:ext cx="4724400" cy="3524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6"/>
  <sheetViews>
    <sheetView tabSelected="1" topLeftCell="A38" zoomScale="85" zoomScaleNormal="85" workbookViewId="0">
      <selection activeCell="E58" sqref="E58"/>
    </sheetView>
  </sheetViews>
  <sheetFormatPr baseColWidth="10" defaultColWidth="8.28515625" defaultRowHeight="15" x14ac:dyDescent="0.25"/>
  <cols>
    <col min="1" max="1" width="39.5703125" customWidth="1"/>
    <col min="2" max="2" width="8.28515625" customWidth="1"/>
    <col min="3" max="3" width="9.5703125" bestFit="1" customWidth="1"/>
    <col min="4" max="5" width="9.85546875" customWidth="1"/>
    <col min="6" max="6" width="10" customWidth="1"/>
    <col min="7" max="9" width="9.7109375" bestFit="1" customWidth="1"/>
    <col min="10" max="10" width="9.7109375" customWidth="1"/>
    <col min="11" max="11" width="11.85546875" customWidth="1"/>
    <col min="13" max="13" width="13.5703125" customWidth="1"/>
    <col min="14" max="14" width="19.7109375" customWidth="1"/>
    <col min="15" max="15" width="21.5703125" customWidth="1"/>
    <col min="16" max="16" width="19.7109375" customWidth="1"/>
    <col min="17" max="17" width="18.5703125" customWidth="1"/>
    <col min="18" max="18" width="18.5703125" style="134" customWidth="1"/>
    <col min="19" max="19" width="18.5703125" customWidth="1"/>
    <col min="20" max="20" width="20.140625" customWidth="1"/>
    <col min="21" max="21" width="18.85546875" customWidth="1"/>
    <col min="22" max="22" width="21.7109375" customWidth="1"/>
    <col min="23" max="24" width="18.85546875" customWidth="1"/>
    <col min="25" max="25" width="21" customWidth="1"/>
    <col min="26" max="26" width="14.5703125" customWidth="1"/>
    <col min="27" max="29" width="14.28515625" customWidth="1"/>
    <col min="30" max="30" width="18.42578125" customWidth="1"/>
    <col min="31" max="33" width="14.28515625" customWidth="1"/>
    <col min="34" max="34" width="10.42578125" customWidth="1"/>
    <col min="35" max="35" width="16.85546875" customWidth="1"/>
    <col min="36" max="36" width="17.85546875" customWidth="1"/>
    <col min="37" max="37" width="12.5703125" customWidth="1"/>
    <col min="38" max="39" width="10.85546875" customWidth="1"/>
    <col min="40" max="40" width="18.42578125" customWidth="1"/>
    <col min="41" max="41" width="16.5703125" customWidth="1"/>
    <col min="42" max="42" width="15.42578125" customWidth="1"/>
    <col min="43" max="44" width="10.85546875" customWidth="1"/>
    <col min="45" max="45" width="16" customWidth="1"/>
    <col min="46" max="47" width="15" customWidth="1"/>
    <col min="48" max="48" width="12.5703125" customWidth="1"/>
    <col min="49" max="49" width="10.85546875" customWidth="1"/>
    <col min="50" max="50" width="11.28515625" customWidth="1"/>
    <col min="51" max="51" width="18.7109375" customWidth="1"/>
    <col min="52" max="52" width="15.5703125" customWidth="1"/>
    <col min="53" max="53" width="13" customWidth="1"/>
    <col min="54" max="55" width="9.5703125" customWidth="1"/>
    <col min="56" max="56" width="18.28515625" customWidth="1"/>
    <col min="57" max="57" width="15.28515625" customWidth="1"/>
    <col min="58" max="58" width="12.7109375" customWidth="1"/>
    <col min="59" max="59" width="9.5703125" customWidth="1"/>
    <col min="60" max="60" width="9.7109375" customWidth="1"/>
    <col min="61" max="61" width="17.5703125" customWidth="1"/>
    <col min="62" max="62" width="14.28515625" bestFit="1" customWidth="1"/>
    <col min="63" max="63" width="12.85546875" customWidth="1"/>
    <col min="66" max="66" width="17.42578125" customWidth="1"/>
    <col min="67" max="67" width="9.28515625" bestFit="1" customWidth="1"/>
    <col min="68" max="68" width="13.28515625" customWidth="1"/>
    <col min="69" max="69" width="13.140625" customWidth="1"/>
    <col min="71" max="71" width="10.140625" customWidth="1"/>
  </cols>
  <sheetData>
    <row r="1" spans="1:69" x14ac:dyDescent="0.25">
      <c r="A1" t="str">
        <f>+REPT("-",300)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69" x14ac:dyDescent="0.25">
      <c r="A2" s="205" t="s">
        <v>182</v>
      </c>
      <c r="B2" s="205"/>
      <c r="C2" s="205"/>
      <c r="D2" s="213" t="s">
        <v>318</v>
      </c>
      <c r="E2" s="213"/>
      <c r="F2" s="213"/>
      <c r="G2" s="213"/>
      <c r="H2" s="213"/>
      <c r="I2" s="213"/>
      <c r="N2" s="89" t="s">
        <v>320</v>
      </c>
      <c r="O2" s="89" t="s">
        <v>320</v>
      </c>
      <c r="P2" s="89" t="s">
        <v>321</v>
      </c>
      <c r="Q2" s="89" t="s">
        <v>321</v>
      </c>
      <c r="AE2" s="143" t="s">
        <v>265</v>
      </c>
      <c r="AF2" s="173" t="s">
        <v>267</v>
      </c>
      <c r="AG2" s="173"/>
      <c r="AJ2" s="143" t="s">
        <v>266</v>
      </c>
      <c r="AK2" s="173" t="s">
        <v>268</v>
      </c>
      <c r="AL2" s="173"/>
    </row>
    <row r="3" spans="1:69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R3" s="136" t="s">
        <v>255</v>
      </c>
      <c r="T3" s="172" t="s">
        <v>248</v>
      </c>
      <c r="U3" s="172"/>
      <c r="V3" s="172" t="s">
        <v>249</v>
      </c>
      <c r="W3" s="172"/>
      <c r="Y3" s="89" t="s">
        <v>323</v>
      </c>
      <c r="AA3" s="89" t="s">
        <v>322</v>
      </c>
      <c r="AB3" s="136" t="s">
        <v>255</v>
      </c>
      <c r="AG3" s="144" t="s">
        <v>255</v>
      </c>
      <c r="AO3" s="143" t="s">
        <v>265</v>
      </c>
      <c r="AP3" s="173" t="s">
        <v>267</v>
      </c>
      <c r="AQ3" s="173"/>
      <c r="AT3" s="143" t="s">
        <v>265</v>
      </c>
      <c r="AU3" s="173" t="s">
        <v>268</v>
      </c>
      <c r="AV3" s="173"/>
      <c r="AZ3" s="143" t="s">
        <v>265</v>
      </c>
      <c r="BA3" s="173" t="s">
        <v>267</v>
      </c>
      <c r="BB3" s="173"/>
      <c r="BE3" s="143" t="s">
        <v>265</v>
      </c>
      <c r="BF3" s="173" t="s">
        <v>310</v>
      </c>
      <c r="BG3" s="173"/>
      <c r="BJ3" s="143" t="s">
        <v>265</v>
      </c>
      <c r="BK3" s="173" t="s">
        <v>267</v>
      </c>
      <c r="BL3" s="173"/>
      <c r="BO3" s="143" t="s">
        <v>265</v>
      </c>
      <c r="BP3" s="173" t="s">
        <v>310</v>
      </c>
      <c r="BQ3" s="173"/>
    </row>
    <row r="4" spans="1:69" x14ac:dyDescent="0.25">
      <c r="A4" s="201" t="s">
        <v>181</v>
      </c>
      <c r="B4" s="202"/>
      <c r="C4" s="89"/>
      <c r="D4" s="131" t="s">
        <v>190</v>
      </c>
      <c r="E4" s="119" t="s">
        <v>191</v>
      </c>
      <c r="F4" s="118" t="s">
        <v>192</v>
      </c>
      <c r="G4" s="117" t="s">
        <v>193</v>
      </c>
      <c r="H4" s="116" t="s">
        <v>194</v>
      </c>
      <c r="I4" s="141" t="s">
        <v>256</v>
      </c>
      <c r="M4" s="172" t="s">
        <v>235</v>
      </c>
      <c r="N4" s="172"/>
      <c r="O4" s="206" t="s">
        <v>190</v>
      </c>
      <c r="P4" s="207"/>
      <c r="Q4" s="208"/>
      <c r="R4"/>
      <c r="T4" s="135" t="s">
        <v>244</v>
      </c>
      <c r="U4" s="97">
        <v>1</v>
      </c>
      <c r="V4" s="135" t="s">
        <v>244</v>
      </c>
      <c r="W4" s="97">
        <v>1</v>
      </c>
      <c r="Y4" s="191" t="s">
        <v>259</v>
      </c>
      <c r="Z4" s="192"/>
      <c r="AA4" s="193"/>
      <c r="AD4" s="188" t="s">
        <v>262</v>
      </c>
      <c r="AE4" s="189"/>
      <c r="AF4" s="190"/>
      <c r="AL4" s="136" t="s">
        <v>255</v>
      </c>
      <c r="AQ4" s="144" t="s">
        <v>255</v>
      </c>
      <c r="AV4" s="144" t="s">
        <v>255</v>
      </c>
      <c r="BB4" s="136" t="s">
        <v>255</v>
      </c>
      <c r="BG4" s="144" t="s">
        <v>255</v>
      </c>
      <c r="BL4" s="136" t="s">
        <v>255</v>
      </c>
      <c r="BQ4" s="144" t="s">
        <v>255</v>
      </c>
    </row>
    <row r="5" spans="1:69" x14ac:dyDescent="0.25">
      <c r="A5" s="203"/>
      <c r="B5" s="204"/>
      <c r="C5" s="11"/>
      <c r="D5" s="11"/>
      <c r="E5" s="10"/>
      <c r="F5" s="10"/>
      <c r="G5" s="10"/>
      <c r="H5" s="10"/>
      <c r="I5" s="90"/>
      <c r="M5" s="100" t="s">
        <v>5</v>
      </c>
      <c r="N5" s="100" t="s">
        <v>246</v>
      </c>
      <c r="O5" s="100" t="s">
        <v>212</v>
      </c>
      <c r="P5" s="100" t="s">
        <v>211</v>
      </c>
      <c r="Q5" s="100" t="s">
        <v>200</v>
      </c>
      <c r="R5"/>
      <c r="T5" s="89" t="s">
        <v>243</v>
      </c>
      <c r="U5" s="132">
        <v>23</v>
      </c>
      <c r="V5" s="89" t="s">
        <v>251</v>
      </c>
      <c r="W5" s="132">
        <f>+W7/N7</f>
        <v>4</v>
      </c>
      <c r="Y5" s="106" t="s">
        <v>199</v>
      </c>
      <c r="Z5" s="106" t="s">
        <v>211</v>
      </c>
      <c r="AA5" s="106" t="s">
        <v>200</v>
      </c>
      <c r="AD5" s="110" t="s">
        <v>199</v>
      </c>
      <c r="AE5" s="110" t="s">
        <v>211</v>
      </c>
      <c r="AF5" s="110" t="s">
        <v>200</v>
      </c>
      <c r="AI5" s="188" t="s">
        <v>262</v>
      </c>
      <c r="AJ5" s="189"/>
      <c r="AK5" s="190"/>
      <c r="AN5" s="182" t="s">
        <v>269</v>
      </c>
      <c r="AO5" s="183"/>
      <c r="AP5" s="184"/>
      <c r="AS5" s="182" t="s">
        <v>269</v>
      </c>
      <c r="AT5" s="183"/>
      <c r="AU5" s="184"/>
      <c r="AY5" s="178" t="s">
        <v>307</v>
      </c>
      <c r="AZ5" s="179"/>
      <c r="BA5" s="180"/>
      <c r="BD5" s="178" t="s">
        <v>307</v>
      </c>
      <c r="BE5" s="179"/>
      <c r="BF5" s="180"/>
      <c r="BI5" s="174" t="s">
        <v>311</v>
      </c>
      <c r="BJ5" s="175"/>
      <c r="BK5" s="176"/>
      <c r="BN5" s="174" t="s">
        <v>311</v>
      </c>
      <c r="BO5" s="175"/>
      <c r="BP5" s="176"/>
    </row>
    <row r="6" spans="1:69" x14ac:dyDescent="0.25">
      <c r="A6" s="9" t="s">
        <v>330</v>
      </c>
      <c r="B6" s="3">
        <v>0.85</v>
      </c>
      <c r="C6" s="108"/>
      <c r="D6" s="108">
        <f>+Q27</f>
        <v>8.1999999999999993</v>
      </c>
      <c r="E6" s="108">
        <f>+AB34</f>
        <v>45</v>
      </c>
      <c r="F6" s="108">
        <f>+AG34</f>
        <v>57.02</v>
      </c>
      <c r="G6" s="108">
        <f>+AQ35</f>
        <v>152.06</v>
      </c>
      <c r="H6" s="108">
        <f>+BG35</f>
        <v>152.06</v>
      </c>
      <c r="I6" s="108">
        <f>+BL35</f>
        <v>152.06</v>
      </c>
      <c r="L6" s="89" t="s">
        <v>252</v>
      </c>
      <c r="M6" s="96">
        <v>2</v>
      </c>
      <c r="N6" s="96">
        <f>240</f>
        <v>240</v>
      </c>
      <c r="O6" s="2">
        <f>+$N$6*12</f>
        <v>2880</v>
      </c>
      <c r="P6" s="128">
        <v>1</v>
      </c>
      <c r="Q6" s="138">
        <f>P6*O6</f>
        <v>2880</v>
      </c>
      <c r="R6" s="136">
        <v>2.8</v>
      </c>
      <c r="T6" s="89" t="s">
        <v>245</v>
      </c>
      <c r="U6" s="132">
        <f>+(U5*O6)*U4</f>
        <v>66240</v>
      </c>
      <c r="V6" s="89" t="s">
        <v>245</v>
      </c>
      <c r="W6" s="132">
        <f>800*12</f>
        <v>9600</v>
      </c>
      <c r="Y6" s="89">
        <f>+O11</f>
        <v>1344</v>
      </c>
      <c r="Z6" s="128">
        <f>+AA6/W10</f>
        <v>0.83333333333333337</v>
      </c>
      <c r="AA6" s="132">
        <f>(1059*12)/1.2</f>
        <v>10590</v>
      </c>
      <c r="AB6" s="136">
        <v>10</v>
      </c>
      <c r="AD6" s="89">
        <f>+Y6</f>
        <v>1344</v>
      </c>
      <c r="AE6" s="102">
        <f>+$AF6/AA6</f>
        <v>1.2</v>
      </c>
      <c r="AF6" s="132">
        <f>1059*12</f>
        <v>12708</v>
      </c>
      <c r="AG6" s="136">
        <v>12.7</v>
      </c>
      <c r="AI6" s="110" t="s">
        <v>199</v>
      </c>
      <c r="AJ6" s="110" t="s">
        <v>211</v>
      </c>
      <c r="AK6" s="110" t="s">
        <v>200</v>
      </c>
      <c r="AN6" s="112" t="s">
        <v>199</v>
      </c>
      <c r="AO6" s="112" t="s">
        <v>211</v>
      </c>
      <c r="AP6" s="112" t="s">
        <v>200</v>
      </c>
      <c r="AS6" s="112" t="s">
        <v>199</v>
      </c>
      <c r="AT6" s="112" t="s">
        <v>211</v>
      </c>
      <c r="AU6" s="112" t="s">
        <v>200</v>
      </c>
      <c r="AY6" s="114" t="s">
        <v>199</v>
      </c>
      <c r="AZ6" s="114" t="s">
        <v>211</v>
      </c>
      <c r="BA6" s="114" t="s">
        <v>200</v>
      </c>
      <c r="BD6" s="114" t="s">
        <v>199</v>
      </c>
      <c r="BE6" s="114" t="s">
        <v>211</v>
      </c>
      <c r="BF6" s="114" t="s">
        <v>200</v>
      </c>
      <c r="BI6" s="149" t="s">
        <v>199</v>
      </c>
      <c r="BJ6" s="149" t="s">
        <v>211</v>
      </c>
      <c r="BK6" s="149" t="s">
        <v>200</v>
      </c>
      <c r="BN6" s="149" t="s">
        <v>199</v>
      </c>
      <c r="BO6" s="149" t="s">
        <v>211</v>
      </c>
      <c r="BP6" s="149" t="s">
        <v>200</v>
      </c>
    </row>
    <row r="7" spans="1:69" x14ac:dyDescent="0.25">
      <c r="A7" s="9" t="s">
        <v>331</v>
      </c>
      <c r="B7" s="94"/>
      <c r="C7" s="108"/>
      <c r="D7" s="108"/>
      <c r="E7" s="108"/>
      <c r="F7" s="108">
        <f>+AL35</f>
        <v>36.119999999999997</v>
      </c>
      <c r="G7" s="108">
        <f>+AV35</f>
        <v>57.02</v>
      </c>
      <c r="H7" s="108">
        <f>+BB35</f>
        <v>152.06</v>
      </c>
      <c r="I7" s="108">
        <f>+BQ35</f>
        <v>152.06</v>
      </c>
      <c r="L7" s="89" t="s">
        <v>253</v>
      </c>
      <c r="M7" s="89">
        <v>2</v>
      </c>
      <c r="N7" s="89">
        <v>200</v>
      </c>
      <c r="O7" s="89">
        <f>+N7*12</f>
        <v>2400</v>
      </c>
      <c r="P7" s="97">
        <v>0</v>
      </c>
      <c r="Q7" s="132">
        <f>+P7*O7</f>
        <v>0</v>
      </c>
      <c r="R7" s="136">
        <v>0</v>
      </c>
      <c r="T7" s="91" t="s">
        <v>250</v>
      </c>
      <c r="U7" s="89"/>
      <c r="V7" s="91" t="s">
        <v>250</v>
      </c>
      <c r="W7" s="132">
        <v>800</v>
      </c>
      <c r="AI7" s="89">
        <f>+Y6</f>
        <v>1344</v>
      </c>
      <c r="AJ7" s="97">
        <f t="shared" ref="AJ7:AK7" si="0">+Z6</f>
        <v>0.83333333333333337</v>
      </c>
      <c r="AK7" s="89">
        <f t="shared" si="0"/>
        <v>10590</v>
      </c>
      <c r="AL7" s="136">
        <v>12.7</v>
      </c>
      <c r="AN7" s="89">
        <f>+AI7</f>
        <v>1344</v>
      </c>
      <c r="AO7" s="102">
        <f>+AP7/AK7</f>
        <v>1.2</v>
      </c>
      <c r="AP7" s="132">
        <f>1059*12</f>
        <v>12708</v>
      </c>
      <c r="AQ7" s="136">
        <v>12.7</v>
      </c>
      <c r="AS7" s="89">
        <f>+AN7</f>
        <v>1344</v>
      </c>
      <c r="AT7" s="102">
        <f>+AU7/AP7</f>
        <v>1</v>
      </c>
      <c r="AU7" s="132">
        <f>1059*12</f>
        <v>12708</v>
      </c>
      <c r="AV7" s="136">
        <v>12.7</v>
      </c>
      <c r="AY7" s="89">
        <f>+AS7</f>
        <v>1344</v>
      </c>
      <c r="AZ7" s="102">
        <f>+AT7</f>
        <v>1</v>
      </c>
      <c r="BA7" s="132">
        <f>1059*12</f>
        <v>12708</v>
      </c>
      <c r="BB7" s="136">
        <v>12.7</v>
      </c>
      <c r="BD7" s="89">
        <f>+AY7</f>
        <v>1344</v>
      </c>
      <c r="BE7" s="102">
        <f>+BF7/BA7</f>
        <v>1</v>
      </c>
      <c r="BF7" s="132">
        <f>1059*12</f>
        <v>12708</v>
      </c>
      <c r="BG7" s="136">
        <v>12.7</v>
      </c>
      <c r="BI7" s="89">
        <f>+BD7</f>
        <v>1344</v>
      </c>
      <c r="BJ7" s="102">
        <f>+BK7/BF7</f>
        <v>1</v>
      </c>
      <c r="BK7" s="132">
        <f>1059*12</f>
        <v>12708</v>
      </c>
      <c r="BL7" s="136">
        <v>12.7</v>
      </c>
      <c r="BN7" s="89">
        <f>+BI7</f>
        <v>1344</v>
      </c>
      <c r="BO7" s="102">
        <f>+BP7/BK7</f>
        <v>1</v>
      </c>
      <c r="BP7" s="132">
        <f>1059*12</f>
        <v>12708</v>
      </c>
      <c r="BQ7" s="136">
        <v>12.7</v>
      </c>
    </row>
    <row r="8" spans="1:69" x14ac:dyDescent="0.25">
      <c r="A8" s="9" t="s">
        <v>326</v>
      </c>
      <c r="B8" s="3">
        <v>0.1</v>
      </c>
      <c r="C8" s="108"/>
      <c r="D8" s="108">
        <f>+Q14</f>
        <v>0</v>
      </c>
      <c r="E8" s="108">
        <f>+AB22</f>
        <v>12.97</v>
      </c>
      <c r="F8" s="108">
        <f>+AG22</f>
        <v>71.260000000000005</v>
      </c>
      <c r="G8" s="108">
        <f>+AQ23</f>
        <v>101.8</v>
      </c>
      <c r="H8" s="108">
        <f>+BB23</f>
        <v>192.59</v>
      </c>
      <c r="I8" s="108">
        <f>+BL23</f>
        <v>192.59</v>
      </c>
      <c r="M8" s="172" t="s">
        <v>247</v>
      </c>
      <c r="N8" s="172"/>
      <c r="O8" s="206" t="s">
        <v>190</v>
      </c>
      <c r="P8" s="207"/>
      <c r="Q8" s="208"/>
      <c r="R8"/>
      <c r="T8" s="135" t="s">
        <v>244</v>
      </c>
      <c r="U8" s="97">
        <v>1</v>
      </c>
      <c r="V8" s="135" t="s">
        <v>244</v>
      </c>
      <c r="W8" s="97">
        <v>1</v>
      </c>
      <c r="Y8" s="191" t="s">
        <v>260</v>
      </c>
      <c r="Z8" s="192"/>
      <c r="AA8" s="193"/>
      <c r="AD8" s="188" t="s">
        <v>263</v>
      </c>
      <c r="AE8" s="189"/>
      <c r="AF8" s="190"/>
    </row>
    <row r="9" spans="1:69" x14ac:dyDescent="0.25">
      <c r="A9" s="9" t="s">
        <v>327</v>
      </c>
      <c r="B9" s="94"/>
      <c r="C9" s="108"/>
      <c r="D9" s="108"/>
      <c r="E9" s="108"/>
      <c r="F9" s="108">
        <f>+AL23</f>
        <v>40.72</v>
      </c>
      <c r="G9" s="108">
        <f>+AV23</f>
        <v>71.260000000000005</v>
      </c>
      <c r="H9" s="108">
        <f>+BG23</f>
        <v>101.8</v>
      </c>
      <c r="I9" s="108">
        <f>+BQ23</f>
        <v>90.8</v>
      </c>
      <c r="M9" s="100" t="s">
        <v>5</v>
      </c>
      <c r="N9" s="100" t="s">
        <v>246</v>
      </c>
      <c r="O9" s="100" t="s">
        <v>212</v>
      </c>
      <c r="P9" s="100" t="s">
        <v>211</v>
      </c>
      <c r="Q9" s="100" t="s">
        <v>254</v>
      </c>
      <c r="R9"/>
      <c r="T9" s="89" t="s">
        <v>243</v>
      </c>
      <c r="U9" s="132">
        <v>23</v>
      </c>
      <c r="V9" s="89" t="s">
        <v>243</v>
      </c>
      <c r="W9" s="132">
        <f>+W11/N11</f>
        <v>9.4553571428571423</v>
      </c>
      <c r="Y9" s="106" t="s">
        <v>199</v>
      </c>
      <c r="Z9" s="106" t="s">
        <v>211</v>
      </c>
      <c r="AA9" s="106" t="s">
        <v>200</v>
      </c>
      <c r="AD9" s="110" t="s">
        <v>199</v>
      </c>
      <c r="AE9" s="110" t="s">
        <v>211</v>
      </c>
      <c r="AF9" s="110" t="s">
        <v>200</v>
      </c>
      <c r="AI9" s="188" t="s">
        <v>263</v>
      </c>
      <c r="AJ9" s="189"/>
      <c r="AK9" s="190"/>
      <c r="AN9" s="182" t="s">
        <v>270</v>
      </c>
      <c r="AO9" s="183"/>
      <c r="AP9" s="184"/>
      <c r="AS9" s="182" t="s">
        <v>270</v>
      </c>
      <c r="AT9" s="183"/>
      <c r="AU9" s="184"/>
      <c r="AY9" s="178" t="s">
        <v>308</v>
      </c>
      <c r="AZ9" s="179"/>
      <c r="BA9" s="180"/>
      <c r="BD9" s="178" t="s">
        <v>308</v>
      </c>
      <c r="BE9" s="179"/>
      <c r="BF9" s="180"/>
      <c r="BI9" s="174" t="s">
        <v>312</v>
      </c>
      <c r="BJ9" s="175"/>
      <c r="BK9" s="176"/>
      <c r="BN9" s="174" t="s">
        <v>312</v>
      </c>
      <c r="BO9" s="175"/>
      <c r="BP9" s="176"/>
    </row>
    <row r="10" spans="1:69" x14ac:dyDescent="0.25">
      <c r="A10" s="9" t="s">
        <v>328</v>
      </c>
      <c r="B10" s="3">
        <v>0.05</v>
      </c>
      <c r="C10" s="108"/>
      <c r="D10" s="108">
        <f>+R7+R11</f>
        <v>5.2</v>
      </c>
      <c r="E10" s="108">
        <f>+AB6+AB10</f>
        <v>18</v>
      </c>
      <c r="F10" s="108">
        <f>+AG6+AG10</f>
        <v>22.299999999999997</v>
      </c>
      <c r="G10" s="108">
        <f>+AQ7+AQ11</f>
        <v>22.299999999999997</v>
      </c>
      <c r="H10" s="108">
        <f>+BB7+BB11</f>
        <v>22.299999999999997</v>
      </c>
      <c r="I10" s="108">
        <f>+BL7+BL11</f>
        <v>22.299999999999997</v>
      </c>
      <c r="L10" s="89" t="s">
        <v>252</v>
      </c>
      <c r="M10" s="96">
        <v>1</v>
      </c>
      <c r="N10" s="96">
        <v>152</v>
      </c>
      <c r="O10" s="89">
        <f>+$N$6*12</f>
        <v>2880</v>
      </c>
      <c r="P10" s="128">
        <v>1</v>
      </c>
      <c r="Q10" s="132">
        <f>P10*O10</f>
        <v>2880</v>
      </c>
      <c r="R10"/>
      <c r="T10" s="89" t="s">
        <v>245</v>
      </c>
      <c r="U10" s="132">
        <f>+(U9*O10)*U8</f>
        <v>66240</v>
      </c>
      <c r="V10" s="89" t="s">
        <v>245</v>
      </c>
      <c r="W10" s="132">
        <f>1059*12</f>
        <v>12708</v>
      </c>
      <c r="Y10" s="89">
        <f>+O7</f>
        <v>2400</v>
      </c>
      <c r="Z10" s="128">
        <f>+AA10/W6</f>
        <v>0.83333333333333337</v>
      </c>
      <c r="AA10" s="132">
        <f>(800*12)/1.2</f>
        <v>8000</v>
      </c>
      <c r="AB10" s="136">
        <v>8</v>
      </c>
      <c r="AD10" s="89">
        <f>+Y10</f>
        <v>2400</v>
      </c>
      <c r="AE10" s="128">
        <f>+AF10/AA10</f>
        <v>1.2</v>
      </c>
      <c r="AF10" s="132">
        <f>800*12</f>
        <v>9600</v>
      </c>
      <c r="AG10" s="136">
        <v>9.6</v>
      </c>
      <c r="AI10" s="110" t="s">
        <v>199</v>
      </c>
      <c r="AJ10" s="110" t="s">
        <v>211</v>
      </c>
      <c r="AK10" s="110" t="s">
        <v>200</v>
      </c>
      <c r="AN10" s="112" t="s">
        <v>199</v>
      </c>
      <c r="AO10" s="112" t="s">
        <v>211</v>
      </c>
      <c r="AP10" s="112" t="s">
        <v>200</v>
      </c>
      <c r="AS10" s="112" t="s">
        <v>199</v>
      </c>
      <c r="AT10" s="112" t="s">
        <v>211</v>
      </c>
      <c r="AU10" s="112" t="s">
        <v>200</v>
      </c>
      <c r="AY10" s="114" t="s">
        <v>199</v>
      </c>
      <c r="AZ10" s="114" t="s">
        <v>211</v>
      </c>
      <c r="BA10" s="114" t="s">
        <v>200</v>
      </c>
      <c r="BD10" s="114" t="s">
        <v>199</v>
      </c>
      <c r="BE10" s="114" t="s">
        <v>211</v>
      </c>
      <c r="BF10" s="114" t="s">
        <v>200</v>
      </c>
      <c r="BI10" s="149" t="s">
        <v>199</v>
      </c>
      <c r="BJ10" s="149" t="s">
        <v>211</v>
      </c>
      <c r="BK10" s="149" t="s">
        <v>200</v>
      </c>
      <c r="BN10" s="149" t="s">
        <v>199</v>
      </c>
      <c r="BO10" s="149" t="s">
        <v>211</v>
      </c>
      <c r="BP10" s="149" t="s">
        <v>200</v>
      </c>
    </row>
    <row r="11" spans="1:69" x14ac:dyDescent="0.25">
      <c r="A11" s="9" t="s">
        <v>329</v>
      </c>
      <c r="B11" s="94"/>
      <c r="C11" s="108"/>
      <c r="D11" s="108"/>
      <c r="E11" s="108"/>
      <c r="F11" s="108">
        <f>+AL7+AL11</f>
        <v>22.299999999999997</v>
      </c>
      <c r="G11" s="108">
        <f>+AV7+AV11</f>
        <v>22.299999999999997</v>
      </c>
      <c r="H11" s="108">
        <f>+BG7+BG11</f>
        <v>22.299999999999997</v>
      </c>
      <c r="I11" s="108">
        <f>+BQ7+BQ11</f>
        <v>22.299999999999997</v>
      </c>
      <c r="L11" s="89" t="s">
        <v>253</v>
      </c>
      <c r="M11" s="89">
        <v>1</v>
      </c>
      <c r="N11" s="89">
        <v>112</v>
      </c>
      <c r="O11" s="89">
        <f>+N11*12</f>
        <v>1344</v>
      </c>
      <c r="P11" s="97">
        <v>1</v>
      </c>
      <c r="Q11" s="138">
        <f>+(W9*O11)/P11</f>
        <v>12708</v>
      </c>
      <c r="R11" s="136">
        <v>5.2</v>
      </c>
      <c r="T11" s="91" t="s">
        <v>250</v>
      </c>
      <c r="U11" s="89"/>
      <c r="V11" s="91" t="s">
        <v>250</v>
      </c>
      <c r="W11" s="132">
        <v>1059</v>
      </c>
      <c r="Y11" s="89" t="s">
        <v>325</v>
      </c>
      <c r="AB11" s="140">
        <f>+AB6+AB10</f>
        <v>18</v>
      </c>
      <c r="AI11" s="89">
        <f>+Y10</f>
        <v>2400</v>
      </c>
      <c r="AJ11" s="97">
        <f t="shared" ref="AJ11:AK11" si="1">+Z10</f>
        <v>0.83333333333333337</v>
      </c>
      <c r="AK11" s="89">
        <f t="shared" si="1"/>
        <v>8000</v>
      </c>
      <c r="AL11" s="136">
        <v>9.6</v>
      </c>
      <c r="AN11" s="89">
        <f>+AI11</f>
        <v>2400</v>
      </c>
      <c r="AO11" s="128">
        <f>+AP11/AK11</f>
        <v>1.2</v>
      </c>
      <c r="AP11" s="132">
        <f>800*12</f>
        <v>9600</v>
      </c>
      <c r="AQ11" s="136">
        <v>9.6</v>
      </c>
      <c r="AS11" s="89">
        <f>+AN11</f>
        <v>2400</v>
      </c>
      <c r="AT11" s="128">
        <f>+AU11/AP11</f>
        <v>1</v>
      </c>
      <c r="AU11" s="132">
        <f>800*12</f>
        <v>9600</v>
      </c>
      <c r="AV11" s="136">
        <v>9.6</v>
      </c>
      <c r="AY11" s="89">
        <f>+AS11</f>
        <v>2400</v>
      </c>
      <c r="AZ11" s="128">
        <f>+AT11</f>
        <v>1</v>
      </c>
      <c r="BA11" s="132">
        <f>800*12</f>
        <v>9600</v>
      </c>
      <c r="BB11" s="136">
        <v>9.6</v>
      </c>
      <c r="BD11" s="89">
        <f>+AY11</f>
        <v>2400</v>
      </c>
      <c r="BE11" s="128">
        <f>+BF11/BA11</f>
        <v>1</v>
      </c>
      <c r="BF11" s="132">
        <f>800*12</f>
        <v>9600</v>
      </c>
      <c r="BG11" s="136">
        <v>9.6</v>
      </c>
      <c r="BI11" s="89">
        <f>+BD11</f>
        <v>2400</v>
      </c>
      <c r="BJ11" s="128">
        <f>+BK11/BF11</f>
        <v>1</v>
      </c>
      <c r="BK11" s="132">
        <f>800*12</f>
        <v>9600</v>
      </c>
      <c r="BL11" s="136">
        <v>9.6</v>
      </c>
      <c r="BN11" s="89">
        <f>+BI11</f>
        <v>2400</v>
      </c>
      <c r="BO11" s="128">
        <f>+BP11/BK11</f>
        <v>1</v>
      </c>
      <c r="BP11" s="132">
        <f>800*12</f>
        <v>9600</v>
      </c>
      <c r="BQ11" s="136">
        <v>9.6</v>
      </c>
    </row>
    <row r="12" spans="1:69" x14ac:dyDescent="0.25">
      <c r="A12" s="9" t="s">
        <v>187</v>
      </c>
      <c r="B12" s="97">
        <v>0.05</v>
      </c>
      <c r="C12" s="108"/>
      <c r="D12" s="108">
        <f>+T48</f>
        <v>7.5</v>
      </c>
      <c r="E12" s="108">
        <f>+AB16</f>
        <v>10.4</v>
      </c>
      <c r="F12" s="108">
        <f>+AG16</f>
        <v>41.58</v>
      </c>
      <c r="G12" s="108">
        <f>+AQ17</f>
        <v>41.58</v>
      </c>
      <c r="H12" s="108">
        <f>+BB17</f>
        <v>41.58</v>
      </c>
      <c r="I12" s="108">
        <f>+BL17</f>
        <v>41.58</v>
      </c>
      <c r="M12" s="172" t="s">
        <v>203</v>
      </c>
      <c r="N12" s="172"/>
      <c r="O12" s="172"/>
      <c r="P12" s="172" t="s">
        <v>190</v>
      </c>
      <c r="Q12" s="172"/>
      <c r="R12"/>
    </row>
    <row r="13" spans="1:69" x14ac:dyDescent="0.25">
      <c r="A13" s="120" t="s">
        <v>0</v>
      </c>
      <c r="B13" s="121"/>
      <c r="C13" s="108"/>
      <c r="D13" s="122">
        <f>D6+D8+D10+D12</f>
        <v>20.9</v>
      </c>
      <c r="E13" s="122">
        <f t="shared" ref="E13" si="2">E6+E8+E10+E12</f>
        <v>86.37</v>
      </c>
      <c r="F13" s="122">
        <f>+F6+F7+F8+F9+F10+F11+F12</f>
        <v>291.3</v>
      </c>
      <c r="G13" s="122">
        <f t="shared" ref="G13:I13" si="3">+G6+G7+G8+G9+G10+G11+G12</f>
        <v>468.32</v>
      </c>
      <c r="H13" s="122">
        <f t="shared" si="3"/>
        <v>684.68999999999994</v>
      </c>
      <c r="I13" s="122">
        <f t="shared" si="3"/>
        <v>673.68999999999994</v>
      </c>
      <c r="M13" s="206" t="s">
        <v>201</v>
      </c>
      <c r="N13" s="208"/>
      <c r="O13" s="100" t="s">
        <v>202</v>
      </c>
      <c r="P13" s="100" t="s">
        <v>211</v>
      </c>
      <c r="Q13" s="100" t="s">
        <v>207</v>
      </c>
      <c r="R13"/>
      <c r="Y13" s="191" t="s">
        <v>214</v>
      </c>
      <c r="Z13" s="196"/>
      <c r="AA13" s="197"/>
      <c r="AD13" s="188" t="s">
        <v>218</v>
      </c>
      <c r="AE13" s="194"/>
      <c r="AF13" s="195"/>
    </row>
    <row r="14" spans="1:69" x14ac:dyDescent="0.25">
      <c r="A14" s="91" t="s">
        <v>340</v>
      </c>
      <c r="B14" s="3">
        <v>0.2</v>
      </c>
      <c r="C14" s="108"/>
      <c r="D14" s="108">
        <f>('Structure des flux'!A16+'Structure des flux'!A17+'Structure des flux'!A18+'Structure des flux'!A19)/12*14.7/1029</f>
        <v>52.936904761904756</v>
      </c>
      <c r="E14" s="108">
        <f>D14*(0.8+$B$14)</f>
        <v>52.936904761904756</v>
      </c>
      <c r="F14" s="108">
        <f>E14*(1.4+$B$14)</f>
        <v>84.699047619047604</v>
      </c>
      <c r="G14" s="108">
        <f>F14*(0.8+$B$14)</f>
        <v>84.699047619047604</v>
      </c>
      <c r="H14" s="108">
        <f>G14*(0.8+$B$14)</f>
        <v>84.699047619047604</v>
      </c>
      <c r="I14" s="108">
        <f>H14*(0.8+$B$14)</f>
        <v>84.699047619047604</v>
      </c>
      <c r="M14" s="209">
        <v>170</v>
      </c>
      <c r="N14" s="210"/>
      <c r="O14" s="104">
        <f>+($M$14*41.58)*12</f>
        <v>84823.2</v>
      </c>
      <c r="P14" s="103">
        <v>0</v>
      </c>
      <c r="Q14" s="95">
        <f>+P14*O14</f>
        <v>0</v>
      </c>
      <c r="R14" s="136"/>
      <c r="Y14" s="106" t="s">
        <v>209</v>
      </c>
      <c r="Z14" s="106" t="s">
        <v>210</v>
      </c>
      <c r="AA14" s="109" t="s">
        <v>200</v>
      </c>
      <c r="AD14" s="110" t="s">
        <v>209</v>
      </c>
      <c r="AE14" s="110" t="s">
        <v>210</v>
      </c>
      <c r="AF14" s="111" t="s">
        <v>200</v>
      </c>
      <c r="AN14" s="182" t="s">
        <v>222</v>
      </c>
      <c r="AO14" s="186"/>
      <c r="AP14" s="187"/>
      <c r="AY14" s="181" t="s">
        <v>226</v>
      </c>
      <c r="AZ14" s="181"/>
      <c r="BA14" s="181"/>
      <c r="BI14" s="177" t="s">
        <v>313</v>
      </c>
      <c r="BJ14" s="177"/>
      <c r="BK14" s="177"/>
    </row>
    <row r="15" spans="1:69" x14ac:dyDescent="0.25">
      <c r="A15" s="91" t="s">
        <v>343</v>
      </c>
      <c r="B15" s="3">
        <v>0.02</v>
      </c>
      <c r="C15" s="108"/>
      <c r="D15" s="108">
        <v>11.14</v>
      </c>
      <c r="E15" s="108">
        <f>D15*(1+$B$15)</f>
        <v>11.3628</v>
      </c>
      <c r="F15" s="108">
        <f t="shared" ref="F15:I15" si="4">E15*(1+$B$15)</f>
        <v>11.590056000000001</v>
      </c>
      <c r="G15" s="108">
        <f t="shared" si="4"/>
        <v>11.821857120000001</v>
      </c>
      <c r="H15" s="108">
        <f t="shared" si="4"/>
        <v>12.0582942624</v>
      </c>
      <c r="I15" s="108">
        <f t="shared" si="4"/>
        <v>12.299460147648</v>
      </c>
      <c r="M15" s="158"/>
      <c r="N15" s="158"/>
      <c r="O15" s="159"/>
      <c r="P15" s="160"/>
      <c r="Q15" s="137"/>
      <c r="R15" s="161"/>
      <c r="Y15" s="106"/>
      <c r="Z15" s="106"/>
      <c r="AA15" s="109"/>
      <c r="AD15" s="110"/>
      <c r="AE15" s="110"/>
      <c r="AF15" s="111"/>
      <c r="AN15" s="153"/>
      <c r="AO15" s="154"/>
      <c r="AP15" s="155"/>
      <c r="AY15" s="152"/>
      <c r="AZ15" s="152"/>
      <c r="BA15" s="152"/>
      <c r="BI15" s="151"/>
      <c r="BJ15" s="151"/>
      <c r="BK15" s="151"/>
    </row>
    <row r="16" spans="1:69" x14ac:dyDescent="0.25">
      <c r="A16" s="91" t="s">
        <v>342</v>
      </c>
      <c r="B16" s="94">
        <v>0.02</v>
      </c>
      <c r="C16" s="108"/>
      <c r="D16" s="108">
        <v>0.9</v>
      </c>
      <c r="E16" s="108">
        <f>+D16*(19+$B$24)</f>
        <v>17.117999999999999</v>
      </c>
      <c r="F16" s="108">
        <v>40</v>
      </c>
      <c r="G16" s="108">
        <f>+F16*(1+$B$24)</f>
        <v>40.799999999999997</v>
      </c>
      <c r="H16" s="108">
        <f>+G16*(1+$B$24)</f>
        <v>41.616</v>
      </c>
      <c r="I16" s="108">
        <f>+H16*(1+$B$24)</f>
        <v>42.448320000000002</v>
      </c>
      <c r="Y16" s="98">
        <f>+$O$48*$P$48</f>
        <v>34650</v>
      </c>
      <c r="Z16" s="129">
        <f>+AA16/Y16</f>
        <v>0.30014430014430016</v>
      </c>
      <c r="AA16" s="132">
        <v>10400</v>
      </c>
      <c r="AB16" s="136">
        <v>10.4</v>
      </c>
      <c r="AD16" s="98">
        <f>+$O$48*$P$48</f>
        <v>34650</v>
      </c>
      <c r="AE16" s="129">
        <f>+AF16/AD16</f>
        <v>1.184935064935065</v>
      </c>
      <c r="AF16" s="132">
        <v>41058</v>
      </c>
      <c r="AG16" s="136">
        <v>41.58</v>
      </c>
      <c r="AN16" s="112" t="s">
        <v>209</v>
      </c>
      <c r="AO16" s="112" t="s">
        <v>210</v>
      </c>
      <c r="AP16" s="113" t="s">
        <v>200</v>
      </c>
      <c r="AY16" s="114" t="s">
        <v>209</v>
      </c>
      <c r="AZ16" s="114" t="s">
        <v>210</v>
      </c>
      <c r="BA16" s="115" t="s">
        <v>200</v>
      </c>
      <c r="BI16" s="149" t="s">
        <v>209</v>
      </c>
      <c r="BJ16" s="149" t="s">
        <v>210</v>
      </c>
      <c r="BK16" s="150" t="s">
        <v>200</v>
      </c>
    </row>
    <row r="17" spans="1:69" x14ac:dyDescent="0.25">
      <c r="A17" s="91" t="s">
        <v>337</v>
      </c>
      <c r="B17" s="2"/>
      <c r="C17" s="108"/>
      <c r="D17" s="108">
        <v>3</v>
      </c>
      <c r="E17" s="108">
        <f>D17*(1+$B$17)</f>
        <v>3</v>
      </c>
      <c r="F17" s="108">
        <f t="shared" ref="F17:I17" si="5">E17*(1+$B$17)</f>
        <v>3</v>
      </c>
      <c r="G17" s="108">
        <f t="shared" si="5"/>
        <v>3</v>
      </c>
      <c r="H17" s="108">
        <f t="shared" si="5"/>
        <v>3</v>
      </c>
      <c r="I17" s="108">
        <f t="shared" si="5"/>
        <v>3</v>
      </c>
      <c r="M17" s="172" t="s">
        <v>6</v>
      </c>
      <c r="N17" s="172"/>
      <c r="O17" s="172"/>
      <c r="AN17" s="98">
        <f>+$O$48*$P$48</f>
        <v>34650</v>
      </c>
      <c r="AO17" s="129">
        <f>+AP17/AN17</f>
        <v>1.184935064935065</v>
      </c>
      <c r="AP17" s="132">
        <v>41058</v>
      </c>
      <c r="AQ17" s="136">
        <v>41.58</v>
      </c>
      <c r="AY17" s="98">
        <f>+$O$48*$P$48</f>
        <v>34650</v>
      </c>
      <c r="AZ17" s="129">
        <f>+BA17/AY17</f>
        <v>1.184935064935065</v>
      </c>
      <c r="BA17" s="132">
        <v>41058</v>
      </c>
      <c r="BB17" s="136">
        <v>41.58</v>
      </c>
      <c r="BI17" s="98">
        <f>+$O$48*$P$48</f>
        <v>34650</v>
      </c>
      <c r="BJ17" s="129">
        <f>+BK17/BI17</f>
        <v>1.184935064935065</v>
      </c>
      <c r="BK17" s="132">
        <v>41058</v>
      </c>
      <c r="BL17" s="136">
        <v>41.58</v>
      </c>
    </row>
    <row r="18" spans="1:69" x14ac:dyDescent="0.25">
      <c r="A18" s="62" t="s">
        <v>186</v>
      </c>
      <c r="B18" s="3">
        <v>0.45</v>
      </c>
      <c r="C18" s="108"/>
      <c r="D18" s="108">
        <v>13.1</v>
      </c>
      <c r="E18" s="108">
        <v>40</v>
      </c>
      <c r="F18" s="108">
        <f>E18*(1+$B$18)</f>
        <v>58</v>
      </c>
      <c r="G18" s="108">
        <f t="shared" ref="G18:I18" si="6">F18*(1+$B$18)</f>
        <v>84.1</v>
      </c>
      <c r="H18" s="108">
        <f t="shared" si="6"/>
        <v>121.94499999999999</v>
      </c>
      <c r="I18" s="108">
        <f t="shared" si="6"/>
        <v>176.82024999999999</v>
      </c>
      <c r="M18" s="100" t="s">
        <v>1</v>
      </c>
      <c r="N18" s="100" t="s">
        <v>7</v>
      </c>
      <c r="O18" s="100" t="s">
        <v>8</v>
      </c>
    </row>
    <row r="19" spans="1:69" x14ac:dyDescent="0.25">
      <c r="A19" s="91" t="s">
        <v>123</v>
      </c>
      <c r="B19" s="94">
        <v>0.02</v>
      </c>
      <c r="C19" s="108"/>
      <c r="D19" s="108"/>
      <c r="E19" s="108"/>
      <c r="F19" s="108">
        <v>40</v>
      </c>
      <c r="G19" s="108">
        <f t="shared" ref="G19" si="7">F19*(1+$B$22)</f>
        <v>40.799999999999997</v>
      </c>
      <c r="H19" s="108">
        <f t="shared" ref="H19" si="8">G19*(1+$B$22)</f>
        <v>41.616</v>
      </c>
      <c r="I19" s="108">
        <f t="shared" ref="I19" si="9">H19*(1+$B$22)</f>
        <v>42.448320000000002</v>
      </c>
      <c r="M19" s="103">
        <v>0.05</v>
      </c>
      <c r="N19" s="96">
        <v>400000</v>
      </c>
      <c r="O19" s="2">
        <f>N19*M19</f>
        <v>20000</v>
      </c>
      <c r="Y19" s="213" t="s">
        <v>319</v>
      </c>
      <c r="Z19" s="213"/>
      <c r="AA19" s="213"/>
    </row>
    <row r="20" spans="1:69" x14ac:dyDescent="0.25">
      <c r="A20" s="91" t="s">
        <v>338</v>
      </c>
      <c r="B20" s="3">
        <v>0.02</v>
      </c>
      <c r="C20" s="108"/>
      <c r="D20" s="108">
        <v>11</v>
      </c>
      <c r="E20" s="108">
        <f>D20*(1+$B$20)</f>
        <v>11.22</v>
      </c>
      <c r="F20" s="108">
        <f t="shared" ref="F20:I20" si="10">E20*(0.5+$B$20)</f>
        <v>5.8344000000000005</v>
      </c>
      <c r="G20" s="108">
        <f t="shared" si="10"/>
        <v>3.0338880000000001</v>
      </c>
      <c r="H20" s="108">
        <f t="shared" si="10"/>
        <v>1.5776217600000002</v>
      </c>
      <c r="I20" s="108">
        <f t="shared" si="10"/>
        <v>0.82036331520000016</v>
      </c>
      <c r="Y20" s="191" t="s">
        <v>215</v>
      </c>
      <c r="Z20" s="192"/>
      <c r="AA20" s="193"/>
      <c r="AD20" s="188" t="s">
        <v>219</v>
      </c>
      <c r="AE20" s="189"/>
      <c r="AF20" s="190"/>
    </row>
    <row r="21" spans="1:69" x14ac:dyDescent="0.25">
      <c r="A21" s="91" t="s">
        <v>351</v>
      </c>
      <c r="B21" s="3">
        <v>0.02</v>
      </c>
      <c r="C21" s="108"/>
      <c r="D21" s="108">
        <v>13</v>
      </c>
      <c r="E21" s="108">
        <v>5.8</v>
      </c>
      <c r="F21" s="108">
        <f>E21*(3+$B$21)</f>
        <v>17.515999999999998</v>
      </c>
      <c r="G21" s="108">
        <f t="shared" ref="G21:I21" si="11">F21*(1+$B$21)</f>
        <v>17.866319999999998</v>
      </c>
      <c r="H21" s="108">
        <f t="shared" si="11"/>
        <v>18.2236464</v>
      </c>
      <c r="I21" s="108">
        <f t="shared" si="11"/>
        <v>18.588119328000001</v>
      </c>
      <c r="Y21" s="106" t="s">
        <v>202</v>
      </c>
      <c r="Z21" s="106" t="s">
        <v>211</v>
      </c>
      <c r="AA21" s="106" t="s">
        <v>207</v>
      </c>
      <c r="AD21" s="110" t="s">
        <v>202</v>
      </c>
      <c r="AE21" s="110" t="s">
        <v>211</v>
      </c>
      <c r="AF21" s="110" t="s">
        <v>207</v>
      </c>
      <c r="AI21" s="188" t="s">
        <v>219</v>
      </c>
      <c r="AJ21" s="189"/>
      <c r="AK21" s="190"/>
      <c r="AN21" s="185" t="s">
        <v>223</v>
      </c>
      <c r="AO21" s="185"/>
      <c r="AP21" s="185"/>
      <c r="AS21" s="185" t="s">
        <v>223</v>
      </c>
      <c r="AT21" s="185"/>
      <c r="AU21" s="185"/>
      <c r="AY21" s="181" t="s">
        <v>227</v>
      </c>
      <c r="AZ21" s="181"/>
      <c r="BA21" s="181"/>
      <c r="BD21" s="181" t="s">
        <v>227</v>
      </c>
      <c r="BE21" s="181"/>
      <c r="BF21" s="181"/>
      <c r="BI21" s="177" t="s">
        <v>314</v>
      </c>
      <c r="BJ21" s="177"/>
      <c r="BK21" s="177"/>
      <c r="BN21" s="177" t="s">
        <v>314</v>
      </c>
      <c r="BO21" s="177"/>
      <c r="BP21" s="177"/>
    </row>
    <row r="22" spans="1:69" x14ac:dyDescent="0.25">
      <c r="A22" s="91" t="s">
        <v>349</v>
      </c>
      <c r="B22" s="3">
        <v>0.02</v>
      </c>
      <c r="C22" s="108"/>
      <c r="D22" s="108">
        <v>1.1000000000000001</v>
      </c>
      <c r="E22" s="108">
        <v>1.2</v>
      </c>
      <c r="F22" s="108"/>
      <c r="G22" s="108"/>
      <c r="H22" s="108"/>
      <c r="I22" s="108"/>
      <c r="Y22" s="104">
        <v>84830</v>
      </c>
      <c r="Z22" s="128">
        <f>+AA22/Y22</f>
        <v>0.14980549333962043</v>
      </c>
      <c r="AA22" s="132">
        <v>12708</v>
      </c>
      <c r="AB22" s="136">
        <v>12.97</v>
      </c>
      <c r="AD22" s="104">
        <f>+($M$14*49.9)*12</f>
        <v>101796</v>
      </c>
      <c r="AE22" s="128">
        <f>+AF22/AD22</f>
        <v>0.69772879091516371</v>
      </c>
      <c r="AF22" s="132">
        <v>71026</v>
      </c>
      <c r="AG22" s="136">
        <v>71.260000000000005</v>
      </c>
      <c r="AI22" s="110" t="s">
        <v>202</v>
      </c>
      <c r="AJ22" s="110" t="s">
        <v>211</v>
      </c>
      <c r="AK22" s="110" t="s">
        <v>207</v>
      </c>
      <c r="AN22" s="112" t="s">
        <v>202</v>
      </c>
      <c r="AO22" s="112" t="s">
        <v>211</v>
      </c>
      <c r="AP22" s="112" t="s">
        <v>207</v>
      </c>
      <c r="AS22" s="112" t="s">
        <v>202</v>
      </c>
      <c r="AT22" s="112" t="s">
        <v>211</v>
      </c>
      <c r="AU22" s="112" t="s">
        <v>207</v>
      </c>
      <c r="AY22" s="114" t="s">
        <v>202</v>
      </c>
      <c r="AZ22" s="114" t="s">
        <v>211</v>
      </c>
      <c r="BA22" s="114" t="s">
        <v>207</v>
      </c>
      <c r="BD22" s="114" t="s">
        <v>202</v>
      </c>
      <c r="BE22" s="114" t="s">
        <v>211</v>
      </c>
      <c r="BF22" s="114" t="s">
        <v>207</v>
      </c>
      <c r="BI22" s="149" t="s">
        <v>202</v>
      </c>
      <c r="BJ22" s="149" t="s">
        <v>211</v>
      </c>
      <c r="BK22" s="149" t="s">
        <v>207</v>
      </c>
      <c r="BN22" s="149" t="s">
        <v>202</v>
      </c>
      <c r="BO22" s="149" t="s">
        <v>211</v>
      </c>
      <c r="BP22" s="149" t="s">
        <v>207</v>
      </c>
    </row>
    <row r="23" spans="1:69" x14ac:dyDescent="0.25">
      <c r="A23" s="91" t="s">
        <v>196</v>
      </c>
      <c r="B23" s="3">
        <v>1.2E-2</v>
      </c>
      <c r="C23" s="108">
        <v>10</v>
      </c>
      <c r="D23" s="108"/>
      <c r="E23" s="108"/>
      <c r="F23" s="108">
        <f>C23*(1+$B$23)</f>
        <v>10.120000000000001</v>
      </c>
      <c r="G23" s="108">
        <f t="shared" ref="G23:I23" si="12">F23*(1+$B$23)</f>
        <v>10.241440000000001</v>
      </c>
      <c r="H23" s="108">
        <f t="shared" si="12"/>
        <v>10.364337280000001</v>
      </c>
      <c r="I23" s="108">
        <f t="shared" si="12"/>
        <v>10.488709327360001</v>
      </c>
      <c r="AI23" s="104">
        <f>+($M$14*49.9)*12</f>
        <v>101796</v>
      </c>
      <c r="AJ23" s="128">
        <f>+AK23/AI23</f>
        <v>0.39365004518841606</v>
      </c>
      <c r="AK23" s="132">
        <v>40072</v>
      </c>
      <c r="AL23" s="136">
        <v>40.72</v>
      </c>
      <c r="AN23" s="104">
        <f>+($M$14*49.9)*12</f>
        <v>101796</v>
      </c>
      <c r="AO23" s="128">
        <f>+AP23/AN23</f>
        <v>0.99296632480647573</v>
      </c>
      <c r="AP23" s="132">
        <v>101080</v>
      </c>
      <c r="AQ23" s="136">
        <v>101.8</v>
      </c>
      <c r="AS23" s="104">
        <f>+($M$14*49.9)*12</f>
        <v>101796</v>
      </c>
      <c r="AT23" s="128">
        <f>+AU23/AS23</f>
        <v>0.69772879091516371</v>
      </c>
      <c r="AU23" s="132">
        <v>71026</v>
      </c>
      <c r="AV23" s="136">
        <v>71.260000000000005</v>
      </c>
      <c r="AY23" s="104">
        <f>+($M$14*49.9)*12</f>
        <v>101796</v>
      </c>
      <c r="AZ23" s="128">
        <f>+BA23/AY23</f>
        <v>1.8867047821132461</v>
      </c>
      <c r="BA23" s="132">
        <v>192059</v>
      </c>
      <c r="BB23" s="136">
        <v>192.59</v>
      </c>
      <c r="BD23" s="104">
        <f>+($M$14*49.9)*12</f>
        <v>101796</v>
      </c>
      <c r="BE23" s="128">
        <f>+BF23/BD23</f>
        <v>0.99296632480647573</v>
      </c>
      <c r="BF23" s="132">
        <v>101080</v>
      </c>
      <c r="BG23" s="136">
        <v>101.8</v>
      </c>
      <c r="BI23" s="104">
        <f>+($M$14*49.9)*12</f>
        <v>101796</v>
      </c>
      <c r="BJ23" s="128">
        <f>+BK23/BI23</f>
        <v>1.8867047821132461</v>
      </c>
      <c r="BK23" s="132">
        <v>192059</v>
      </c>
      <c r="BL23" s="136">
        <v>192.59</v>
      </c>
      <c r="BN23" s="104">
        <f>+($M$14*49.9)*12</f>
        <v>101796</v>
      </c>
      <c r="BO23" s="128">
        <f>+BP23/BN23</f>
        <v>0.88490706904004091</v>
      </c>
      <c r="BP23" s="132">
        <v>90080</v>
      </c>
      <c r="BQ23" s="136">
        <v>90.8</v>
      </c>
    </row>
    <row r="24" spans="1:69" x14ac:dyDescent="0.25">
      <c r="A24" s="91" t="s">
        <v>348</v>
      </c>
      <c r="B24" s="3">
        <v>0.02</v>
      </c>
      <c r="C24" s="108"/>
      <c r="D24" s="163">
        <v>2E-3</v>
      </c>
      <c r="E24" s="163">
        <f t="shared" ref="E24" si="13">D24*(1+$B$21)</f>
        <v>2.0400000000000001E-3</v>
      </c>
      <c r="F24" s="163">
        <f t="shared" ref="F24" si="14">E24*(1+$B$21)</f>
        <v>2.0808000000000003E-3</v>
      </c>
      <c r="G24" s="163">
        <f t="shared" ref="G24" si="15">F24*(1+$B$21)</f>
        <v>2.1224160000000002E-3</v>
      </c>
      <c r="H24" s="163">
        <f t="shared" ref="H24" si="16">G24*(1+$B$21)</f>
        <v>2.1648643200000003E-3</v>
      </c>
      <c r="I24" s="163">
        <f t="shared" ref="I24" si="17">H24*(1+$B$21)</f>
        <v>2.2081616064000002E-3</v>
      </c>
    </row>
    <row r="25" spans="1:69" x14ac:dyDescent="0.25">
      <c r="A25" s="62" t="s">
        <v>130</v>
      </c>
      <c r="B25" s="3">
        <v>0.02</v>
      </c>
      <c r="C25" s="108">
        <v>3</v>
      </c>
      <c r="D25" s="108"/>
      <c r="E25" s="108">
        <v>0.2</v>
      </c>
      <c r="F25" s="108">
        <f>C25*(1+$B$25)</f>
        <v>3.06</v>
      </c>
      <c r="G25" s="108">
        <f t="shared" ref="G25:I25" si="18">F25*(1+$B$25)</f>
        <v>3.1212</v>
      </c>
      <c r="H25" s="108">
        <f t="shared" si="18"/>
        <v>3.183624</v>
      </c>
      <c r="I25" s="108">
        <f t="shared" si="18"/>
        <v>3.2472964800000002</v>
      </c>
      <c r="M25" s="172" t="s">
        <v>258</v>
      </c>
      <c r="N25" s="172"/>
      <c r="O25" s="206" t="s">
        <v>190</v>
      </c>
      <c r="P25" s="207"/>
      <c r="Q25" s="208"/>
      <c r="Y25" s="109" t="s">
        <v>233</v>
      </c>
      <c r="Z25" s="133">
        <f>+Z26/O27</f>
        <v>0.3147622053872054</v>
      </c>
      <c r="AD25" s="111" t="s">
        <v>233</v>
      </c>
      <c r="AE25" s="133">
        <f>+AE26/O27</f>
        <v>0.65561868686868685</v>
      </c>
      <c r="AM25" s="142"/>
      <c r="AR25" s="142"/>
      <c r="AW25" s="142"/>
    </row>
    <row r="26" spans="1:69" x14ac:dyDescent="0.25">
      <c r="A26" s="91" t="s">
        <v>344</v>
      </c>
      <c r="B26" s="3">
        <v>0.02</v>
      </c>
      <c r="C26" s="108"/>
      <c r="D26" s="123">
        <v>0.03</v>
      </c>
      <c r="E26" s="123">
        <f>D26*(1+$B$26)</f>
        <v>3.0599999999999999E-2</v>
      </c>
      <c r="F26" s="123">
        <f t="shared" ref="F26:I26" si="19">E26*(1+$B$26)</f>
        <v>3.1212E-2</v>
      </c>
      <c r="G26" s="123">
        <f t="shared" si="19"/>
        <v>3.1836240000000002E-2</v>
      </c>
      <c r="H26" s="164">
        <f t="shared" si="19"/>
        <v>3.2472964800000004E-2</v>
      </c>
      <c r="I26" s="123">
        <f t="shared" si="19"/>
        <v>3.3122424096000004E-2</v>
      </c>
      <c r="M26" s="100" t="s">
        <v>5</v>
      </c>
      <c r="N26" s="100" t="s">
        <v>198</v>
      </c>
      <c r="O26" s="100" t="s">
        <v>242</v>
      </c>
      <c r="P26" s="100" t="s">
        <v>206</v>
      </c>
      <c r="Q26" s="100" t="s">
        <v>200</v>
      </c>
      <c r="Y26" s="109" t="s">
        <v>261</v>
      </c>
      <c r="Z26" s="89">
        <v>5983</v>
      </c>
      <c r="AD26" s="111" t="s">
        <v>261</v>
      </c>
      <c r="AE26" s="89">
        <v>12462</v>
      </c>
      <c r="AI26" s="111" t="s">
        <v>233</v>
      </c>
      <c r="AJ26" s="133">
        <f>Z25</f>
        <v>0.3147622053872054</v>
      </c>
      <c r="AN26" s="113" t="s">
        <v>233</v>
      </c>
      <c r="AO26" s="133">
        <f>+AO27/O27</f>
        <v>0.83080808080808077</v>
      </c>
      <c r="AS26" s="113" t="s">
        <v>233</v>
      </c>
      <c r="AT26" s="133">
        <f>+AT27/O27</f>
        <v>0.65561868686868685</v>
      </c>
      <c r="AY26" s="115" t="s">
        <v>233</v>
      </c>
      <c r="AZ26" s="133">
        <f>+AZ27/$O$27</f>
        <v>1.1783459595959596</v>
      </c>
      <c r="BD26" s="115" t="s">
        <v>233</v>
      </c>
      <c r="BE26" s="133">
        <f>+BE27/O27</f>
        <v>0.83080808080808077</v>
      </c>
      <c r="BI26" s="150" t="s">
        <v>233</v>
      </c>
      <c r="BJ26" s="133">
        <f>+BJ27/$O$27</f>
        <v>1.0731271043771045</v>
      </c>
      <c r="BN26" s="150" t="s">
        <v>233</v>
      </c>
      <c r="BO26" s="133">
        <f>+BO27/O27</f>
        <v>0.83080808080808077</v>
      </c>
    </row>
    <row r="27" spans="1:69" x14ac:dyDescent="0.25">
      <c r="A27" s="62" t="s">
        <v>164</v>
      </c>
      <c r="B27" s="96">
        <v>5</v>
      </c>
      <c r="C27" s="108"/>
      <c r="D27" s="108">
        <v>0.9</v>
      </c>
      <c r="E27" s="108">
        <f>D66/$B$27</f>
        <v>-0.55999999999999994</v>
      </c>
      <c r="F27" s="108">
        <f t="shared" ref="F27:I27" si="20">E66/$B$27</f>
        <v>-0.44799999999999995</v>
      </c>
      <c r="G27" s="108">
        <f t="shared" si="20"/>
        <v>-0.35839999999999994</v>
      </c>
      <c r="H27" s="108">
        <f t="shared" si="20"/>
        <v>-0.28671999999999997</v>
      </c>
      <c r="I27" s="108">
        <f t="shared" si="20"/>
        <v>-0.22937599999999997</v>
      </c>
      <c r="M27" s="96">
        <v>8</v>
      </c>
      <c r="N27" s="105">
        <f>+($M$27*9*6)*4</f>
        <v>1728</v>
      </c>
      <c r="O27" s="89">
        <f>+$N$27*11</f>
        <v>19008</v>
      </c>
      <c r="P27" s="130">
        <f>+Q27/O27</f>
        <v>4.3139730639730637E-4</v>
      </c>
      <c r="Q27" s="139">
        <v>8.1999999999999993</v>
      </c>
      <c r="AI27" s="111" t="s">
        <v>261</v>
      </c>
      <c r="AJ27" s="89">
        <v>5983</v>
      </c>
      <c r="AN27" s="113" t="s">
        <v>261</v>
      </c>
      <c r="AO27" s="89">
        <v>15792</v>
      </c>
      <c r="AS27" s="113" t="s">
        <v>261</v>
      </c>
      <c r="AT27" s="89">
        <v>12462</v>
      </c>
      <c r="AY27" s="115" t="s">
        <v>261</v>
      </c>
      <c r="AZ27" s="89">
        <v>22398</v>
      </c>
      <c r="BD27" s="115" t="s">
        <v>261</v>
      </c>
      <c r="BE27" s="89">
        <v>15792</v>
      </c>
      <c r="BI27" s="150" t="s">
        <v>261</v>
      </c>
      <c r="BJ27" s="89">
        <v>20398</v>
      </c>
      <c r="BN27" s="150" t="s">
        <v>261</v>
      </c>
      <c r="BO27" s="89">
        <v>15792</v>
      </c>
    </row>
    <row r="28" spans="1:69" x14ac:dyDescent="0.25">
      <c r="A28" s="62" t="s">
        <v>165</v>
      </c>
      <c r="B28" s="96">
        <v>5</v>
      </c>
      <c r="C28" s="108"/>
      <c r="D28" s="108">
        <f>B67/$B$28</f>
        <v>0</v>
      </c>
      <c r="E28" s="108">
        <f>D67/$B$28</f>
        <v>-8.84</v>
      </c>
      <c r="F28" s="108">
        <f t="shared" ref="F28:I28" si="21">E67/$B$28</f>
        <v>-7.0720000000000001</v>
      </c>
      <c r="G28" s="108">
        <f t="shared" si="21"/>
        <v>-5.6576000000000004</v>
      </c>
      <c r="H28" s="108">
        <f t="shared" si="21"/>
        <v>-4.5260800000000003</v>
      </c>
      <c r="I28" s="108">
        <f t="shared" si="21"/>
        <v>-3.6208640000000001</v>
      </c>
    </row>
    <row r="29" spans="1:69" x14ac:dyDescent="0.25">
      <c r="A29" s="91" t="s">
        <v>347</v>
      </c>
      <c r="B29" s="65">
        <f>+SUM(D14:D33)</f>
        <v>126.56990476190475</v>
      </c>
      <c r="C29" s="92"/>
      <c r="D29" s="108">
        <v>8</v>
      </c>
      <c r="E29" s="123">
        <f>D29*(1+$B$26)</f>
        <v>8.16</v>
      </c>
      <c r="F29" s="123">
        <f t="shared" ref="F29:I29" si="22">E29*(1+$B$26)</f>
        <v>8.3231999999999999</v>
      </c>
      <c r="G29" s="123">
        <f t="shared" si="22"/>
        <v>8.4896639999999994</v>
      </c>
      <c r="H29" s="123">
        <f t="shared" si="22"/>
        <v>8.6594572799999998</v>
      </c>
      <c r="I29" s="123">
        <f t="shared" si="22"/>
        <v>8.8326464256000001</v>
      </c>
      <c r="O29" s="211" t="s">
        <v>324</v>
      </c>
      <c r="P29" s="212"/>
    </row>
    <row r="30" spans="1:69" x14ac:dyDescent="0.25">
      <c r="A30" s="91" t="s">
        <v>350</v>
      </c>
      <c r="B30" s="92"/>
      <c r="C30" s="92"/>
      <c r="D30" s="108">
        <v>11</v>
      </c>
      <c r="E30" s="108">
        <v>17.899999999999999</v>
      </c>
      <c r="F30" s="108"/>
      <c r="G30" s="108"/>
      <c r="H30" s="108"/>
      <c r="I30" s="108"/>
      <c r="O30" s="156"/>
      <c r="P30" s="157"/>
    </row>
    <row r="31" spans="1:69" x14ac:dyDescent="0.25">
      <c r="A31" s="91" t="s">
        <v>333</v>
      </c>
      <c r="B31" s="89"/>
      <c r="C31" s="92"/>
      <c r="D31" s="108">
        <v>0.26100000000000001</v>
      </c>
      <c r="E31" s="108">
        <v>10</v>
      </c>
      <c r="F31" s="108">
        <v>8.3000000000000007</v>
      </c>
      <c r="G31" s="108">
        <v>6</v>
      </c>
      <c r="H31" s="108">
        <v>3.3</v>
      </c>
      <c r="I31" s="108"/>
      <c r="O31" s="135" t="s">
        <v>244</v>
      </c>
      <c r="P31" s="97">
        <v>1</v>
      </c>
    </row>
    <row r="32" spans="1:69" x14ac:dyDescent="0.25">
      <c r="A32" s="91" t="s">
        <v>332</v>
      </c>
      <c r="B32" s="89"/>
      <c r="C32" s="92"/>
      <c r="D32" s="108"/>
      <c r="E32" s="108">
        <v>7</v>
      </c>
      <c r="F32" s="108">
        <v>6</v>
      </c>
      <c r="G32" s="108">
        <v>5.0999999999999996</v>
      </c>
      <c r="H32" s="108">
        <v>3.8</v>
      </c>
      <c r="I32" s="108">
        <v>2.4</v>
      </c>
      <c r="O32" s="89" t="s">
        <v>243</v>
      </c>
      <c r="P32" s="132">
        <v>15</v>
      </c>
      <c r="Y32" s="191" t="s">
        <v>257</v>
      </c>
      <c r="Z32" s="192"/>
      <c r="AA32" s="193"/>
      <c r="AD32" s="188" t="s">
        <v>264</v>
      </c>
      <c r="AE32" s="189"/>
      <c r="AF32" s="190"/>
    </row>
    <row r="33" spans="1:69" x14ac:dyDescent="0.25">
      <c r="A33" s="91" t="s">
        <v>335</v>
      </c>
      <c r="B33" s="89"/>
      <c r="C33" s="92"/>
      <c r="D33" s="108">
        <v>0.2</v>
      </c>
      <c r="E33" s="108">
        <v>7.2</v>
      </c>
      <c r="F33" s="108">
        <f>E33*(1+$B$26)</f>
        <v>7.3440000000000003</v>
      </c>
      <c r="G33" s="108">
        <f t="shared" ref="G33:I33" si="23">F33*(1+$B$26)</f>
        <v>7.4908800000000006</v>
      </c>
      <c r="H33" s="108">
        <f t="shared" si="23"/>
        <v>7.6406976000000011</v>
      </c>
      <c r="I33" s="108">
        <f t="shared" si="23"/>
        <v>7.7935115520000009</v>
      </c>
      <c r="O33" s="89" t="s">
        <v>245</v>
      </c>
      <c r="P33" s="132">
        <f>+(P32*O27)*P31</f>
        <v>285120</v>
      </c>
      <c r="Y33" s="106" t="s">
        <v>199</v>
      </c>
      <c r="Z33" s="106" t="s">
        <v>206</v>
      </c>
      <c r="AA33" s="106" t="s">
        <v>200</v>
      </c>
      <c r="AD33" s="110" t="s">
        <v>199</v>
      </c>
      <c r="AE33" s="110" t="s">
        <v>206</v>
      </c>
      <c r="AF33" s="110" t="s">
        <v>200</v>
      </c>
      <c r="AI33" s="188" t="s">
        <v>264</v>
      </c>
      <c r="AJ33" s="189"/>
      <c r="AK33" s="190"/>
      <c r="AN33" s="182" t="s">
        <v>271</v>
      </c>
      <c r="AO33" s="183"/>
      <c r="AP33" s="184"/>
      <c r="AS33" s="182" t="s">
        <v>271</v>
      </c>
      <c r="AT33" s="183"/>
      <c r="AU33" s="184"/>
      <c r="AY33" s="178" t="s">
        <v>309</v>
      </c>
      <c r="AZ33" s="179"/>
      <c r="BA33" s="180"/>
      <c r="BD33" s="178" t="s">
        <v>309</v>
      </c>
      <c r="BE33" s="179"/>
      <c r="BF33" s="180"/>
      <c r="BI33" s="174" t="s">
        <v>315</v>
      </c>
      <c r="BJ33" s="175"/>
      <c r="BK33" s="176"/>
      <c r="BN33" s="174" t="s">
        <v>315</v>
      </c>
      <c r="BO33" s="175"/>
      <c r="BP33" s="176"/>
    </row>
    <row r="34" spans="1:69" x14ac:dyDescent="0.25">
      <c r="A34" s="91" t="s">
        <v>334</v>
      </c>
      <c r="B34" s="89"/>
      <c r="C34" s="92"/>
      <c r="D34" s="108"/>
      <c r="E34" s="108">
        <v>3.5</v>
      </c>
      <c r="F34" s="108">
        <v>4</v>
      </c>
      <c r="G34" s="108">
        <v>4.5</v>
      </c>
      <c r="H34" s="108">
        <v>4.7</v>
      </c>
      <c r="I34" s="108">
        <f>H34*(1+$B$26)</f>
        <v>4.7940000000000005</v>
      </c>
      <c r="Y34" s="89">
        <f>+$N$27*11</f>
        <v>19008</v>
      </c>
      <c r="Z34" s="128">
        <f>+AA34/P33</f>
        <v>0.15979938271604938</v>
      </c>
      <c r="AA34" s="132">
        <v>45562</v>
      </c>
      <c r="AB34" s="136">
        <v>45</v>
      </c>
      <c r="AD34" s="89">
        <f>+$N$27*11</f>
        <v>19008</v>
      </c>
      <c r="AE34" s="128">
        <f>+AF34/P33</f>
        <v>0.19992283950617284</v>
      </c>
      <c r="AF34" s="132">
        <v>57002</v>
      </c>
      <c r="AG34" s="136">
        <v>57.02</v>
      </c>
      <c r="AI34" s="110" t="s">
        <v>199</v>
      </c>
      <c r="AJ34" s="110" t="s">
        <v>206</v>
      </c>
      <c r="AK34" s="110" t="s">
        <v>200</v>
      </c>
      <c r="AN34" s="112" t="s">
        <v>199</v>
      </c>
      <c r="AO34" s="112" t="s">
        <v>206</v>
      </c>
      <c r="AP34" s="112" t="s">
        <v>200</v>
      </c>
      <c r="AS34" s="112" t="s">
        <v>199</v>
      </c>
      <c r="AT34" s="112" t="s">
        <v>206</v>
      </c>
      <c r="AU34" s="112" t="s">
        <v>200</v>
      </c>
      <c r="AY34" s="114" t="s">
        <v>199</v>
      </c>
      <c r="AZ34" s="114" t="s">
        <v>206</v>
      </c>
      <c r="BA34" s="114" t="s">
        <v>200</v>
      </c>
      <c r="BD34" s="114" t="s">
        <v>199</v>
      </c>
      <c r="BE34" s="114" t="s">
        <v>206</v>
      </c>
      <c r="BF34" s="114" t="s">
        <v>200</v>
      </c>
      <c r="BI34" s="149" t="s">
        <v>199</v>
      </c>
      <c r="BJ34" s="149" t="s">
        <v>206</v>
      </c>
      <c r="BK34" s="149" t="s">
        <v>200</v>
      </c>
      <c r="BN34" s="149" t="s">
        <v>199</v>
      </c>
      <c r="BO34" s="149" t="s">
        <v>206</v>
      </c>
      <c r="BP34" s="149" t="s">
        <v>200</v>
      </c>
    </row>
    <row r="35" spans="1:69" x14ac:dyDescent="0.25">
      <c r="A35" s="63" t="s">
        <v>125</v>
      </c>
      <c r="B35" s="80"/>
      <c r="C35" s="68"/>
      <c r="D35" s="68">
        <f t="shared" ref="D35:I35" si="24">+D13-SUM(D14:D34)</f>
        <v>-105.66990476190475</v>
      </c>
      <c r="E35" s="80">
        <f t="shared" si="24"/>
        <v>-100.86034476190471</v>
      </c>
      <c r="F35" s="80">
        <f t="shared" si="24"/>
        <v>-8.9999964190475907</v>
      </c>
      <c r="G35" s="80">
        <f t="shared" si="24"/>
        <v>143.23774460495241</v>
      </c>
      <c r="H35" s="80">
        <f t="shared" si="24"/>
        <v>323.08443596943226</v>
      </c>
      <c r="I35" s="80">
        <f t="shared" si="24"/>
        <v>258.82486521944196</v>
      </c>
      <c r="AI35" s="89">
        <f>+$N$27*11</f>
        <v>19008</v>
      </c>
      <c r="AJ35" s="128">
        <f>+AK35/P33</f>
        <v>0.12630471380471381</v>
      </c>
      <c r="AK35" s="132">
        <v>36012</v>
      </c>
      <c r="AL35" s="136">
        <v>36.119999999999997</v>
      </c>
      <c r="AN35" s="89">
        <f>+$N$27*11</f>
        <v>19008</v>
      </c>
      <c r="AO35" s="128">
        <f>+AP35/P33</f>
        <v>0.53312991021324352</v>
      </c>
      <c r="AP35" s="132">
        <v>152006</v>
      </c>
      <c r="AQ35" s="136">
        <v>152.06</v>
      </c>
      <c r="AS35" s="89">
        <f>+$N$27*11</f>
        <v>19008</v>
      </c>
      <c r="AT35" s="128">
        <f>+AU35/P33</f>
        <v>0.19992283950617284</v>
      </c>
      <c r="AU35" s="132">
        <v>57002</v>
      </c>
      <c r="AV35" s="136">
        <v>57.02</v>
      </c>
      <c r="AY35" s="89">
        <f>+$N$27*11</f>
        <v>19008</v>
      </c>
      <c r="AZ35" s="128">
        <f>+BA35/P33</f>
        <v>0.53312991021324352</v>
      </c>
      <c r="BA35" s="132">
        <v>152006</v>
      </c>
      <c r="BB35" s="136">
        <v>152.06</v>
      </c>
      <c r="BD35" s="89">
        <f>+$N$27*11</f>
        <v>19008</v>
      </c>
      <c r="BE35" s="128">
        <f>+BF35/P33</f>
        <v>0.53312991021324352</v>
      </c>
      <c r="BF35" s="132">
        <v>152006</v>
      </c>
      <c r="BG35" s="136">
        <v>152.06</v>
      </c>
      <c r="BI35" s="89">
        <f>+$N$27*11</f>
        <v>19008</v>
      </c>
      <c r="BJ35" s="128">
        <f>+BK35/P33</f>
        <v>0.53312991021324352</v>
      </c>
      <c r="BK35" s="132">
        <v>152006</v>
      </c>
      <c r="BL35" s="136">
        <v>152.06</v>
      </c>
      <c r="BN35" s="89">
        <f>+$N$27*11</f>
        <v>19008</v>
      </c>
      <c r="BO35" s="128">
        <f>+BP35/P33</f>
        <v>0.53312991021324352</v>
      </c>
      <c r="BP35" s="132">
        <v>152006</v>
      </c>
      <c r="BQ35" s="136">
        <v>152.06</v>
      </c>
    </row>
    <row r="36" spans="1:69" x14ac:dyDescent="0.25">
      <c r="A36" s="63" t="s">
        <v>139</v>
      </c>
      <c r="B36" s="10"/>
      <c r="C36" s="64"/>
      <c r="D36" s="64">
        <f t="shared" ref="D36:I36" si="25">D35/D13</f>
        <v>-5.0559763043973565</v>
      </c>
      <c r="E36" s="64">
        <f t="shared" si="25"/>
        <v>-1.167770577305832</v>
      </c>
      <c r="F36" s="64">
        <f t="shared" si="25"/>
        <v>-3.089597122913694E-2</v>
      </c>
      <c r="G36" s="64">
        <f t="shared" si="25"/>
        <v>0.30585442561699783</v>
      </c>
      <c r="H36" s="64">
        <f t="shared" si="25"/>
        <v>0.47186965775669615</v>
      </c>
      <c r="I36" s="64">
        <f t="shared" si="25"/>
        <v>0.38418985767851976</v>
      </c>
    </row>
    <row r="37" spans="1:69" x14ac:dyDescent="0.25">
      <c r="A37" s="62" t="s">
        <v>126</v>
      </c>
      <c r="B37" s="2"/>
      <c r="C37" s="65"/>
      <c r="D37" s="65"/>
      <c r="E37" s="65"/>
      <c r="F37" s="65"/>
      <c r="G37" s="65"/>
      <c r="H37" s="65"/>
      <c r="I37" s="92"/>
    </row>
    <row r="38" spans="1:69" x14ac:dyDescent="0.25">
      <c r="A38" s="91"/>
      <c r="B38" s="89"/>
      <c r="C38" s="92"/>
      <c r="D38" s="92"/>
      <c r="E38" s="92"/>
      <c r="F38" s="92"/>
      <c r="G38" s="92"/>
      <c r="H38" s="92"/>
      <c r="I38" s="92"/>
    </row>
    <row r="39" spans="1:69" x14ac:dyDescent="0.25">
      <c r="A39" s="91"/>
      <c r="B39" s="2"/>
      <c r="C39" s="65"/>
      <c r="D39" s="65"/>
      <c r="E39" s="92"/>
      <c r="F39" s="92"/>
      <c r="G39" s="92"/>
      <c r="H39" s="92"/>
      <c r="I39" s="92"/>
      <c r="O39" s="211" t="s">
        <v>236</v>
      </c>
      <c r="P39" s="212"/>
    </row>
    <row r="40" spans="1:69" x14ac:dyDescent="0.25">
      <c r="A40" s="91"/>
      <c r="B40" s="89"/>
      <c r="C40" s="92"/>
      <c r="D40" s="92"/>
      <c r="E40" s="92"/>
      <c r="F40" s="92"/>
      <c r="G40" s="92"/>
      <c r="H40" s="92"/>
      <c r="I40" s="92"/>
      <c r="O40" s="211" t="s">
        <v>237</v>
      </c>
      <c r="P40" s="212"/>
    </row>
    <row r="41" spans="1:69" x14ac:dyDescent="0.25">
      <c r="A41" s="91"/>
      <c r="B41" s="89"/>
      <c r="C41" s="92"/>
      <c r="D41" s="92"/>
      <c r="E41" s="92"/>
      <c r="F41" s="92"/>
      <c r="G41" s="92"/>
      <c r="H41" s="92"/>
      <c r="I41" s="92"/>
      <c r="K41" s="198" t="s">
        <v>140</v>
      </c>
      <c r="L41" s="198"/>
      <c r="O41" s="211" t="s">
        <v>238</v>
      </c>
      <c r="P41" s="212"/>
    </row>
    <row r="42" spans="1:69" ht="15" customHeight="1" x14ac:dyDescent="0.25">
      <c r="A42" s="62" t="s">
        <v>128</v>
      </c>
      <c r="B42" s="3">
        <v>0.25</v>
      </c>
      <c r="C42" s="65"/>
      <c r="D42" s="65">
        <f>-(D37+D39)*$B$42</f>
        <v>0</v>
      </c>
      <c r="E42" s="65">
        <f>-(E35+E37+E39)*$B$42</f>
        <v>25.215086190476178</v>
      </c>
      <c r="F42" s="65">
        <f>-(F35+F37+F39)*$B$42</f>
        <v>2.2499991047618977</v>
      </c>
      <c r="G42" s="65">
        <f>-(G35+G37+G39)*$B$42</f>
        <v>-35.809436151238103</v>
      </c>
      <c r="H42" s="65">
        <f>-(H35+H37+H39)*$B$42</f>
        <v>-80.771108992358066</v>
      </c>
      <c r="I42" s="92">
        <f>-(I35+I37+I39)*$B$42</f>
        <v>-64.70621630486049</v>
      </c>
      <c r="K42" s="2" t="s">
        <v>171</v>
      </c>
      <c r="L42" s="2">
        <v>150</v>
      </c>
      <c r="O42" s="211" t="s">
        <v>239</v>
      </c>
      <c r="P42" s="212"/>
    </row>
    <row r="43" spans="1:69" x14ac:dyDescent="0.25">
      <c r="A43" s="118" t="s">
        <v>129</v>
      </c>
      <c r="B43" s="118"/>
      <c r="C43" s="162"/>
      <c r="D43" s="162">
        <f t="shared" ref="D43:I43" si="26">D35+D37+D39+D42</f>
        <v>-105.66990476190475</v>
      </c>
      <c r="E43" s="162">
        <f t="shared" si="26"/>
        <v>-75.645258571428542</v>
      </c>
      <c r="F43" s="162">
        <f t="shared" si="26"/>
        <v>-6.7499973142856931</v>
      </c>
      <c r="G43" s="162">
        <f t="shared" si="26"/>
        <v>107.42830845371431</v>
      </c>
      <c r="H43" s="162">
        <f t="shared" si="26"/>
        <v>242.31332697707421</v>
      </c>
      <c r="I43" s="162">
        <f t="shared" si="26"/>
        <v>194.11864891458146</v>
      </c>
      <c r="K43" s="2" t="s">
        <v>172</v>
      </c>
      <c r="L43" s="2">
        <v>0</v>
      </c>
      <c r="O43" s="213" t="s">
        <v>240</v>
      </c>
      <c r="P43" s="213"/>
    </row>
    <row r="44" spans="1:69" x14ac:dyDescent="0.25">
      <c r="K44" s="2" t="s">
        <v>173</v>
      </c>
      <c r="L44" s="2">
        <f>+L42+L43</f>
        <v>150</v>
      </c>
      <c r="O44" s="213" t="s">
        <v>241</v>
      </c>
      <c r="P44" s="213"/>
    </row>
    <row r="45" spans="1:69" x14ac:dyDescent="0.25">
      <c r="A45" s="10" t="s">
        <v>178</v>
      </c>
      <c r="B45" s="2"/>
      <c r="C45" s="89"/>
      <c r="D45" s="131" t="s">
        <v>190</v>
      </c>
      <c r="E45" s="119" t="s">
        <v>191</v>
      </c>
      <c r="F45" s="118" t="s">
        <v>192</v>
      </c>
      <c r="G45" s="117" t="s">
        <v>193</v>
      </c>
      <c r="H45" s="116" t="s">
        <v>194</v>
      </c>
      <c r="I45" s="141" t="s">
        <v>256</v>
      </c>
    </row>
    <row r="46" spans="1:69" x14ac:dyDescent="0.25">
      <c r="A46" s="96" t="s">
        <v>133</v>
      </c>
      <c r="B46" s="65"/>
      <c r="C46" s="65"/>
      <c r="D46" s="65">
        <f t="shared" ref="D46:H46" si="27">D43+D27+D28</f>
        <v>-104.76990476190474</v>
      </c>
      <c r="E46" s="65">
        <f t="shared" si="27"/>
        <v>-85.045258571428548</v>
      </c>
      <c r="F46" s="65">
        <f t="shared" si="27"/>
        <v>-14.269997314285693</v>
      </c>
      <c r="G46" s="65">
        <f t="shared" si="27"/>
        <v>101.4123084537143</v>
      </c>
      <c r="H46" s="65">
        <f t="shared" si="27"/>
        <v>237.5005269770742</v>
      </c>
      <c r="I46" s="92">
        <f t="shared" ref="I46" si="28">I43+I27+I28</f>
        <v>190.26840891458144</v>
      </c>
      <c r="K46" s="199" t="s">
        <v>170</v>
      </c>
      <c r="L46" s="200"/>
      <c r="N46" s="172" t="s">
        <v>204</v>
      </c>
      <c r="O46" s="172"/>
      <c r="P46" s="172"/>
      <c r="Q46" s="172" t="s">
        <v>190</v>
      </c>
      <c r="R46" s="172"/>
      <c r="S46" s="172"/>
    </row>
    <row r="47" spans="1:69" x14ac:dyDescent="0.25">
      <c r="A47" s="62" t="s">
        <v>138</v>
      </c>
      <c r="B47" s="165"/>
      <c r="C47" s="65"/>
      <c r="D47" s="66">
        <v>94</v>
      </c>
      <c r="E47" s="66">
        <v>49.2</v>
      </c>
      <c r="F47" s="66"/>
      <c r="G47" s="65"/>
      <c r="H47" s="65"/>
      <c r="I47" s="92"/>
      <c r="K47" s="2" t="s">
        <v>168</v>
      </c>
      <c r="L47" s="2">
        <v>10</v>
      </c>
      <c r="N47" s="100" t="s">
        <v>208</v>
      </c>
      <c r="O47" s="100" t="s">
        <v>205</v>
      </c>
      <c r="P47" s="100" t="s">
        <v>3</v>
      </c>
      <c r="Q47" s="100" t="s">
        <v>209</v>
      </c>
      <c r="R47" s="100" t="s">
        <v>210</v>
      </c>
      <c r="S47" s="4" t="s">
        <v>200</v>
      </c>
    </row>
    <row r="48" spans="1:69" x14ac:dyDescent="0.25">
      <c r="A48" s="62" t="s">
        <v>134</v>
      </c>
      <c r="B48" s="66">
        <v>10</v>
      </c>
      <c r="C48" s="65"/>
      <c r="D48" s="108">
        <v>10</v>
      </c>
      <c r="E48" s="65"/>
      <c r="F48" s="65"/>
      <c r="G48" s="65"/>
      <c r="H48" s="65"/>
      <c r="I48" s="92"/>
      <c r="K48" s="2" t="s">
        <v>169</v>
      </c>
      <c r="L48" s="2">
        <v>0</v>
      </c>
      <c r="N48" s="101">
        <v>15</v>
      </c>
      <c r="O48" s="12">
        <f>+N48*3*11</f>
        <v>495</v>
      </c>
      <c r="P48" s="101">
        <v>70</v>
      </c>
      <c r="Q48" s="98">
        <f>+$O$48*$P$48</f>
        <v>34650</v>
      </c>
      <c r="R48" s="127">
        <f>+S48/Q48</f>
        <v>0.21650793650793651</v>
      </c>
      <c r="S48" s="132">
        <v>7502</v>
      </c>
      <c r="T48" s="89">
        <v>7.5</v>
      </c>
      <c r="X48" s="137"/>
    </row>
    <row r="49" spans="1:48" x14ac:dyDescent="0.25">
      <c r="A49" s="62" t="s">
        <v>135</v>
      </c>
      <c r="B49" s="65"/>
      <c r="C49" s="65"/>
      <c r="D49" s="108">
        <f>+E33+E34</f>
        <v>10.7</v>
      </c>
      <c r="E49" s="108">
        <f t="shared" ref="E49:I49" si="29">+F33+F34</f>
        <v>11.344000000000001</v>
      </c>
      <c r="F49" s="108">
        <f t="shared" si="29"/>
        <v>11.990880000000001</v>
      </c>
      <c r="G49" s="108">
        <f t="shared" si="29"/>
        <v>12.340697600000002</v>
      </c>
      <c r="H49" s="108">
        <f t="shared" si="29"/>
        <v>12.587511552000002</v>
      </c>
      <c r="I49" s="108">
        <f t="shared" si="29"/>
        <v>0</v>
      </c>
      <c r="K49" s="2" t="s">
        <v>173</v>
      </c>
      <c r="L49" s="2">
        <f>+L47+L48</f>
        <v>10</v>
      </c>
    </row>
    <row r="50" spans="1:48" x14ac:dyDescent="0.25">
      <c r="A50" s="91" t="s">
        <v>336</v>
      </c>
      <c r="B50" s="92"/>
      <c r="C50" s="92"/>
      <c r="D50" s="108">
        <v>-9.3000000000000007</v>
      </c>
      <c r="E50" s="92"/>
      <c r="F50" s="92"/>
      <c r="G50" s="92"/>
      <c r="H50" s="92"/>
      <c r="I50" s="92"/>
      <c r="N50" s="172" t="s">
        <v>338</v>
      </c>
      <c r="O50" s="172"/>
    </row>
    <row r="51" spans="1:48" x14ac:dyDescent="0.25">
      <c r="A51" s="62" t="s">
        <v>136</v>
      </c>
      <c r="B51" s="65"/>
      <c r="C51" s="65"/>
      <c r="D51" s="108">
        <f t="shared" ref="D51:H51" si="30">D82</f>
        <v>104.73334311806914</v>
      </c>
      <c r="E51" s="65">
        <f t="shared" si="30"/>
        <v>35.284580821917785</v>
      </c>
      <c r="F51" s="65">
        <f t="shared" si="30"/>
        <v>75.83308652837573</v>
      </c>
      <c r="G51" s="65">
        <f t="shared" si="30"/>
        <v>21.771691311780813</v>
      </c>
      <c r="H51" s="65">
        <f t="shared" si="30"/>
        <v>34.24173017911238</v>
      </c>
      <c r="I51" s="92">
        <f t="shared" ref="I51" si="31">I82</f>
        <v>55.736772286256155</v>
      </c>
      <c r="N51" s="166" t="s">
        <v>341</v>
      </c>
      <c r="O51" s="167"/>
    </row>
    <row r="52" spans="1:48" x14ac:dyDescent="0.25">
      <c r="A52" s="62" t="s">
        <v>146</v>
      </c>
      <c r="B52" s="65"/>
      <c r="C52" s="65"/>
      <c r="D52" s="108">
        <v>2.8</v>
      </c>
      <c r="E52" s="65"/>
      <c r="F52" s="65"/>
      <c r="G52" s="65"/>
      <c r="H52" s="65"/>
      <c r="I52" s="92"/>
      <c r="N52" s="168"/>
      <c r="O52" s="169"/>
    </row>
    <row r="53" spans="1:48" x14ac:dyDescent="0.25">
      <c r="A53" s="62" t="s">
        <v>148</v>
      </c>
      <c r="B53" s="65"/>
      <c r="C53" s="108"/>
      <c r="D53" s="108">
        <v>44.2</v>
      </c>
      <c r="E53" s="65"/>
      <c r="F53" s="65"/>
      <c r="G53" s="65"/>
      <c r="H53" s="65"/>
      <c r="I53" s="92"/>
      <c r="N53" s="170"/>
      <c r="O53" s="171"/>
    </row>
    <row r="54" spans="1:48" x14ac:dyDescent="0.25">
      <c r="A54" s="62" t="s">
        <v>153</v>
      </c>
      <c r="B54" s="65"/>
      <c r="C54" s="65"/>
      <c r="D54" s="108">
        <v>-8</v>
      </c>
      <c r="E54" s="65"/>
      <c r="F54" s="65"/>
      <c r="G54" s="65"/>
      <c r="H54" s="65"/>
      <c r="I54" s="92"/>
    </row>
    <row r="55" spans="1:48" x14ac:dyDescent="0.25">
      <c r="A55" s="118" t="s">
        <v>137</v>
      </c>
      <c r="B55" s="162">
        <f>+SUM(B46:B54)</f>
        <v>10</v>
      </c>
      <c r="C55" s="162"/>
      <c r="D55" s="162">
        <f>B55+SUM(D46:D54)</f>
        <v>154.36343835616441</v>
      </c>
      <c r="E55" s="162">
        <f>D55+SUM(E46:E54)</f>
        <v>165.14676060665366</v>
      </c>
      <c r="F55" s="162">
        <f t="shared" ref="F55:I55" si="32">E55+SUM(F46:F54)</f>
        <v>238.7007298207437</v>
      </c>
      <c r="G55" s="162">
        <f t="shared" si="32"/>
        <v>374.22542718623879</v>
      </c>
      <c r="H55" s="162">
        <f t="shared" si="32"/>
        <v>658.55519589442542</v>
      </c>
      <c r="I55" s="162">
        <f t="shared" si="32"/>
        <v>904.56037709526299</v>
      </c>
    </row>
    <row r="56" spans="1:48" x14ac:dyDescent="0.25">
      <c r="N56" s="172" t="s">
        <v>339</v>
      </c>
      <c r="O56" s="172"/>
    </row>
    <row r="57" spans="1:48" x14ac:dyDescent="0.25">
      <c r="A57" s="10" t="s">
        <v>156</v>
      </c>
      <c r="B57" s="2"/>
      <c r="C57" s="89"/>
      <c r="D57" s="131" t="s">
        <v>190</v>
      </c>
      <c r="E57" s="119" t="s">
        <v>191</v>
      </c>
      <c r="F57" s="118" t="s">
        <v>192</v>
      </c>
      <c r="G57" s="117" t="s">
        <v>193</v>
      </c>
      <c r="H57" s="116" t="s">
        <v>194</v>
      </c>
      <c r="I57" s="141" t="s">
        <v>256</v>
      </c>
      <c r="N57" s="166" t="s">
        <v>346</v>
      </c>
      <c r="O57" s="167"/>
    </row>
    <row r="58" spans="1:48" x14ac:dyDescent="0.25">
      <c r="A58" s="2" t="s">
        <v>185</v>
      </c>
      <c r="B58" s="65">
        <f>+B48</f>
        <v>10</v>
      </c>
      <c r="C58" s="65"/>
      <c r="D58" s="65">
        <f>+B58+C48+D43</f>
        <v>-95.669904761904746</v>
      </c>
      <c r="E58" s="65">
        <f>D58+E48+E43</f>
        <v>-171.31516333333329</v>
      </c>
      <c r="F58" s="65">
        <f t="shared" ref="F58:I58" si="33">E58+F48+F43</f>
        <v>-178.065160647619</v>
      </c>
      <c r="G58" s="65">
        <f t="shared" si="33"/>
        <v>-70.636852193904687</v>
      </c>
      <c r="H58" s="65">
        <f t="shared" si="33"/>
        <v>171.67647478316951</v>
      </c>
      <c r="I58" s="92">
        <f t="shared" si="33"/>
        <v>365.79512369775097</v>
      </c>
      <c r="N58" s="168"/>
      <c r="O58" s="169"/>
    </row>
    <row r="59" spans="1:48" ht="15.75" thickBot="1" x14ac:dyDescent="0.3">
      <c r="A59" s="2" t="s">
        <v>140</v>
      </c>
      <c r="B59" s="65">
        <f>+B47</f>
        <v>0</v>
      </c>
      <c r="C59" s="65"/>
      <c r="D59" s="65">
        <f>+B59+D47</f>
        <v>94</v>
      </c>
      <c r="E59" s="65">
        <f>+D59+E47</f>
        <v>143.19999999999999</v>
      </c>
      <c r="F59" s="65">
        <f t="shared" ref="F59:I59" si="34">+E59+F47</f>
        <v>143.19999999999999</v>
      </c>
      <c r="G59" s="65">
        <f t="shared" si="34"/>
        <v>143.19999999999999</v>
      </c>
      <c r="H59" s="65">
        <f t="shared" si="34"/>
        <v>143.19999999999999</v>
      </c>
      <c r="I59" s="92">
        <f t="shared" si="34"/>
        <v>143.19999999999999</v>
      </c>
      <c r="N59" s="170"/>
      <c r="O59" s="171"/>
    </row>
    <row r="60" spans="1:48" ht="15.75" thickBot="1" x14ac:dyDescent="0.3">
      <c r="A60" s="2" t="s">
        <v>141</v>
      </c>
      <c r="B60" s="65"/>
      <c r="C60" s="65"/>
      <c r="D60" s="65">
        <f>+C60+D49</f>
        <v>10.7</v>
      </c>
      <c r="E60" s="92">
        <f>+D60+E49</f>
        <v>22.044</v>
      </c>
      <c r="F60" s="65">
        <f t="shared" ref="F60:I60" si="35">+E60+F49</f>
        <v>34.034880000000001</v>
      </c>
      <c r="G60" s="65">
        <f t="shared" si="35"/>
        <v>46.3755776</v>
      </c>
      <c r="H60" s="65">
        <f t="shared" si="35"/>
        <v>58.963089152000002</v>
      </c>
      <c r="I60" s="92">
        <f t="shared" si="35"/>
        <v>58.963089152000002</v>
      </c>
      <c r="AR60" s="145">
        <v>17.07</v>
      </c>
      <c r="AS60" s="146" t="s">
        <v>272</v>
      </c>
      <c r="AT60" s="146">
        <v>645</v>
      </c>
    </row>
    <row r="61" spans="1:48" ht="15.75" thickBot="1" x14ac:dyDescent="0.3">
      <c r="A61" s="2" t="s">
        <v>142</v>
      </c>
      <c r="B61" s="65"/>
      <c r="C61" s="65"/>
      <c r="D61" s="65">
        <f>D79</f>
        <v>91.976904761904763</v>
      </c>
      <c r="E61" s="65">
        <f t="shared" ref="E61:H61" si="36">E79</f>
        <v>101.43770476190475</v>
      </c>
      <c r="F61" s="65">
        <f t="shared" si="36"/>
        <v>162.63950361904759</v>
      </c>
      <c r="G61" s="65">
        <f t="shared" si="36"/>
        <v>161.22111273904758</v>
      </c>
      <c r="H61" s="65">
        <f t="shared" si="36"/>
        <v>161.17461004144761</v>
      </c>
      <c r="I61" s="92">
        <f t="shared" ref="I61" si="37">I79</f>
        <v>161.85531040989562</v>
      </c>
      <c r="N61" s="172" t="s">
        <v>344</v>
      </c>
      <c r="O61" s="172"/>
      <c r="AR61" s="147">
        <v>17.079999999999998</v>
      </c>
      <c r="AS61" s="148" t="s">
        <v>273</v>
      </c>
      <c r="AT61" s="148">
        <v>716</v>
      </c>
    </row>
    <row r="62" spans="1:48" ht="15.75" thickBot="1" x14ac:dyDescent="0.3">
      <c r="A62" s="62" t="s">
        <v>143</v>
      </c>
      <c r="B62" s="65"/>
      <c r="C62" s="65"/>
      <c r="D62" s="65">
        <f>D80</f>
        <v>13.1</v>
      </c>
      <c r="E62" s="65">
        <f t="shared" ref="E62:H62" si="38">E80</f>
        <v>40</v>
      </c>
      <c r="F62" s="65">
        <f t="shared" si="38"/>
        <v>58</v>
      </c>
      <c r="G62" s="65">
        <f t="shared" si="38"/>
        <v>84.1</v>
      </c>
      <c r="H62" s="65">
        <f t="shared" si="38"/>
        <v>121.94499999999999</v>
      </c>
      <c r="I62" s="92">
        <f t="shared" ref="I62" si="39">I80</f>
        <v>176.82024999999999</v>
      </c>
      <c r="N62" s="166" t="s">
        <v>345</v>
      </c>
      <c r="O62" s="167"/>
      <c r="AR62" s="147">
        <v>17.09</v>
      </c>
      <c r="AS62" s="148" t="s">
        <v>274</v>
      </c>
      <c r="AT62" s="148">
        <v>795</v>
      </c>
      <c r="AU62" s="148">
        <v>795</v>
      </c>
      <c r="AV62" s="148" t="s">
        <v>280</v>
      </c>
    </row>
    <row r="63" spans="1:48" ht="15.75" thickBot="1" x14ac:dyDescent="0.3">
      <c r="A63" s="62" t="s">
        <v>144</v>
      </c>
      <c r="B63" s="65"/>
      <c r="C63" s="65"/>
      <c r="D63" s="65">
        <v>1.6</v>
      </c>
      <c r="E63" s="92">
        <v>1.6</v>
      </c>
      <c r="F63" s="92">
        <v>1.6</v>
      </c>
      <c r="G63" s="92">
        <v>1.6</v>
      </c>
      <c r="H63" s="92">
        <v>1.6</v>
      </c>
      <c r="I63" s="92">
        <v>1.6</v>
      </c>
      <c r="N63" s="168"/>
      <c r="O63" s="169"/>
      <c r="AR63" s="147">
        <v>17.100000000000001</v>
      </c>
      <c r="AS63" s="148" t="s">
        <v>275</v>
      </c>
      <c r="AT63" s="148">
        <v>882</v>
      </c>
      <c r="AU63" s="148">
        <v>882</v>
      </c>
      <c r="AV63" s="148" t="s">
        <v>282</v>
      </c>
    </row>
    <row r="64" spans="1:48" ht="15.75" thickBot="1" x14ac:dyDescent="0.3">
      <c r="A64" s="62" t="s">
        <v>145</v>
      </c>
      <c r="B64" s="65">
        <f>+SUM(B58:B63)</f>
        <v>10</v>
      </c>
      <c r="C64" s="65"/>
      <c r="D64" s="65">
        <f>+SUM(D58:D63)</f>
        <v>115.70700000000001</v>
      </c>
      <c r="E64" s="65">
        <f t="shared" ref="E64:H64" si="40">+SUM(E58:E63)</f>
        <v>136.96654142857145</v>
      </c>
      <c r="F64" s="65">
        <f t="shared" si="40"/>
        <v>221.40922297142859</v>
      </c>
      <c r="G64" s="65">
        <f t="shared" si="40"/>
        <v>365.85983814514293</v>
      </c>
      <c r="H64" s="65">
        <f t="shared" si="40"/>
        <v>658.55917397661722</v>
      </c>
      <c r="I64" s="92">
        <f t="shared" ref="I64" si="41">+SUM(I58:I63)</f>
        <v>908.23377325964657</v>
      </c>
      <c r="N64" s="170"/>
      <c r="O64" s="171"/>
      <c r="AR64" s="147">
        <v>17.11</v>
      </c>
      <c r="AS64" s="148" t="s">
        <v>276</v>
      </c>
      <c r="AT64" s="148">
        <v>979</v>
      </c>
      <c r="AU64" s="148">
        <v>979</v>
      </c>
      <c r="AV64" s="148" t="s">
        <v>284</v>
      </c>
    </row>
    <row r="65" spans="1:48" ht="15.75" thickBot="1" x14ac:dyDescent="0.3">
      <c r="B65" s="67"/>
      <c r="C65" s="67"/>
      <c r="D65" s="67"/>
      <c r="E65" s="67"/>
      <c r="F65" s="67"/>
      <c r="G65" s="67"/>
      <c r="H65" s="67"/>
      <c r="I65" s="67"/>
      <c r="AR65" s="147">
        <v>17.12</v>
      </c>
      <c r="AS65" s="148" t="s">
        <v>277</v>
      </c>
      <c r="AT65" s="148" t="s">
        <v>278</v>
      </c>
      <c r="AU65" s="148" t="s">
        <v>278</v>
      </c>
      <c r="AV65" s="148" t="s">
        <v>286</v>
      </c>
    </row>
    <row r="66" spans="1:48" ht="15.75" thickBot="1" x14ac:dyDescent="0.3">
      <c r="A66" s="2" t="s">
        <v>146</v>
      </c>
      <c r="B66" s="65">
        <f>-B52</f>
        <v>0</v>
      </c>
      <c r="C66" s="65"/>
      <c r="D66" s="65">
        <f>B66-D52</f>
        <v>-2.8</v>
      </c>
      <c r="E66" s="65">
        <f>D66-E52-E27</f>
        <v>-2.2399999999999998</v>
      </c>
      <c r="F66" s="65">
        <f t="shared" ref="F66:I66" si="42">E66-F52-F27</f>
        <v>-1.7919999999999998</v>
      </c>
      <c r="G66" s="65">
        <f t="shared" si="42"/>
        <v>-1.4335999999999998</v>
      </c>
      <c r="H66" s="65">
        <f t="shared" si="42"/>
        <v>-1.1468799999999999</v>
      </c>
      <c r="I66" s="92">
        <f t="shared" si="42"/>
        <v>-0.91750399999999988</v>
      </c>
      <c r="AR66" s="147">
        <v>18.010000000000002</v>
      </c>
      <c r="AS66" s="148" t="s">
        <v>279</v>
      </c>
      <c r="AT66" s="148" t="s">
        <v>280</v>
      </c>
      <c r="AU66" s="148" t="s">
        <v>280</v>
      </c>
      <c r="AV66" s="148" t="s">
        <v>288</v>
      </c>
    </row>
    <row r="67" spans="1:48" ht="15.75" thickBot="1" x14ac:dyDescent="0.3">
      <c r="A67" s="2" t="s">
        <v>148</v>
      </c>
      <c r="B67" s="65"/>
      <c r="C67" s="65"/>
      <c r="D67" s="65">
        <f>C67-D53-D28</f>
        <v>-44.2</v>
      </c>
      <c r="E67" s="65">
        <f>D67-E53-E28</f>
        <v>-35.36</v>
      </c>
      <c r="F67" s="65">
        <f t="shared" ref="F67:I67" si="43">E67-F53-F28</f>
        <v>-28.288</v>
      </c>
      <c r="G67" s="65">
        <f t="shared" si="43"/>
        <v>-22.630400000000002</v>
      </c>
      <c r="H67" s="65">
        <f t="shared" si="43"/>
        <v>-18.104320000000001</v>
      </c>
      <c r="I67" s="92">
        <f t="shared" si="43"/>
        <v>-14.483456</v>
      </c>
      <c r="AR67" s="147">
        <v>18.02</v>
      </c>
      <c r="AS67" s="148" t="s">
        <v>281</v>
      </c>
      <c r="AT67" s="148" t="s">
        <v>282</v>
      </c>
      <c r="AU67" s="148" t="s">
        <v>282</v>
      </c>
      <c r="AV67" s="148" t="s">
        <v>290</v>
      </c>
    </row>
    <row r="68" spans="1:48" ht="15.75" thickBot="1" x14ac:dyDescent="0.3">
      <c r="A68" s="2" t="s">
        <v>147</v>
      </c>
      <c r="B68" s="65">
        <f>-B54</f>
        <v>0</v>
      </c>
      <c r="C68" s="65"/>
      <c r="D68" s="65">
        <f>B68-D54</f>
        <v>8</v>
      </c>
      <c r="E68" s="65">
        <f>D68-E54</f>
        <v>8</v>
      </c>
      <c r="F68" s="65">
        <f t="shared" ref="F68:I68" si="44">E68-F54</f>
        <v>8</v>
      </c>
      <c r="G68" s="65">
        <f t="shared" si="44"/>
        <v>8</v>
      </c>
      <c r="H68" s="65">
        <f t="shared" si="44"/>
        <v>8</v>
      </c>
      <c r="I68" s="92">
        <f t="shared" si="44"/>
        <v>8</v>
      </c>
      <c r="AR68" s="147">
        <v>18.03</v>
      </c>
      <c r="AS68" s="148" t="s">
        <v>283</v>
      </c>
      <c r="AT68" s="148" t="s">
        <v>284</v>
      </c>
      <c r="AU68" s="148" t="s">
        <v>284</v>
      </c>
      <c r="AV68" s="148" t="s">
        <v>292</v>
      </c>
    </row>
    <row r="69" spans="1:48" ht="15.75" thickBot="1" x14ac:dyDescent="0.3">
      <c r="A69" s="2" t="s">
        <v>149</v>
      </c>
      <c r="B69" s="65"/>
      <c r="C69" s="65"/>
      <c r="D69" s="65">
        <f>D77</f>
        <v>0</v>
      </c>
      <c r="E69" s="65">
        <f t="shared" ref="E69:H69" si="45">E77</f>
        <v>0</v>
      </c>
      <c r="F69" s="65">
        <f t="shared" si="45"/>
        <v>0</v>
      </c>
      <c r="G69" s="65">
        <f t="shared" si="45"/>
        <v>0</v>
      </c>
      <c r="H69" s="65">
        <f t="shared" si="45"/>
        <v>0</v>
      </c>
      <c r="I69" s="92">
        <f t="shared" ref="I69" si="46">I77</f>
        <v>0</v>
      </c>
      <c r="AR69" s="147">
        <v>18.04</v>
      </c>
      <c r="AS69" s="148" t="s">
        <v>285</v>
      </c>
      <c r="AT69" s="148" t="s">
        <v>286</v>
      </c>
      <c r="AU69" s="148" t="s">
        <v>286</v>
      </c>
      <c r="AV69" s="148" t="s">
        <v>294</v>
      </c>
    </row>
    <row r="70" spans="1:48" ht="15.75" thickBot="1" x14ac:dyDescent="0.3">
      <c r="A70" s="2" t="s">
        <v>150</v>
      </c>
      <c r="B70" s="65"/>
      <c r="C70" s="65"/>
      <c r="D70" s="65">
        <f>D78</f>
        <v>0.34356164383561644</v>
      </c>
      <c r="E70" s="65">
        <f t="shared" ref="E70:H70" si="47">E78</f>
        <v>1.4197808219178083</v>
      </c>
      <c r="F70" s="65">
        <f t="shared" si="47"/>
        <v>4.788493150684932</v>
      </c>
      <c r="G70" s="65">
        <f t="shared" si="47"/>
        <v>7.6984109589041081</v>
      </c>
      <c r="H70" s="65">
        <f t="shared" si="47"/>
        <v>11.25517808219178</v>
      </c>
      <c r="I70" s="92">
        <f t="shared" ref="I70" si="48">I78</f>
        <v>11.074356164383561</v>
      </c>
      <c r="AR70" s="147">
        <v>18.05</v>
      </c>
      <c r="AS70" s="148" t="s">
        <v>287</v>
      </c>
      <c r="AT70" s="148" t="s">
        <v>288</v>
      </c>
      <c r="AU70" s="148" t="s">
        <v>288</v>
      </c>
      <c r="AV70" s="148" t="s">
        <v>296</v>
      </c>
    </row>
    <row r="71" spans="1:48" ht="15.75" thickBot="1" x14ac:dyDescent="0.3">
      <c r="A71" s="2" t="s">
        <v>151</v>
      </c>
      <c r="B71" s="65"/>
      <c r="C71" s="65"/>
      <c r="D71" s="65"/>
      <c r="E71" s="65"/>
      <c r="F71" s="65"/>
      <c r="G71" s="65"/>
      <c r="H71" s="65"/>
      <c r="I71" s="92"/>
      <c r="AR71" s="147">
        <v>18.059999999999999</v>
      </c>
      <c r="AS71" s="148" t="s">
        <v>289</v>
      </c>
      <c r="AT71" s="148" t="s">
        <v>290</v>
      </c>
      <c r="AU71" s="148" t="s">
        <v>290</v>
      </c>
      <c r="AV71" s="148" t="s">
        <v>298</v>
      </c>
    </row>
    <row r="72" spans="1:48" ht="15.75" thickBot="1" x14ac:dyDescent="0.3">
      <c r="A72" s="2" t="s">
        <v>152</v>
      </c>
      <c r="B72" s="65">
        <f>B55</f>
        <v>10</v>
      </c>
      <c r="C72" s="65"/>
      <c r="D72" s="65">
        <f>D55</f>
        <v>154.36343835616441</v>
      </c>
      <c r="E72" s="92">
        <f>E55</f>
        <v>165.14676060665366</v>
      </c>
      <c r="F72" s="65">
        <f t="shared" ref="F72:H72" si="49">F55</f>
        <v>238.7007298207437</v>
      </c>
      <c r="G72" s="65">
        <f t="shared" si="49"/>
        <v>374.22542718623879</v>
      </c>
      <c r="H72" s="65">
        <f t="shared" si="49"/>
        <v>658.55519589442542</v>
      </c>
      <c r="I72" s="92">
        <f t="shared" ref="I72" si="50">I55</f>
        <v>904.56037709526299</v>
      </c>
      <c r="AR72" s="147">
        <v>18.07</v>
      </c>
      <c r="AS72" s="148" t="s">
        <v>291</v>
      </c>
      <c r="AT72" s="148" t="s">
        <v>292</v>
      </c>
      <c r="AU72" s="148" t="s">
        <v>292</v>
      </c>
      <c r="AV72" s="148" t="s">
        <v>300</v>
      </c>
    </row>
    <row r="73" spans="1:48" ht="15.75" thickBot="1" x14ac:dyDescent="0.3">
      <c r="A73" s="62" t="s">
        <v>154</v>
      </c>
      <c r="B73" s="65">
        <f>SUM(B66:B72)</f>
        <v>10</v>
      </c>
      <c r="C73" s="65"/>
      <c r="D73" s="65">
        <f>SUM(D66:D72)</f>
        <v>115.70700000000002</v>
      </c>
      <c r="E73" s="65">
        <f t="shared" ref="E73:H73" si="51">SUM(E66:E72)</f>
        <v>136.96654142857147</v>
      </c>
      <c r="F73" s="65">
        <f t="shared" si="51"/>
        <v>221.40922297142865</v>
      </c>
      <c r="G73" s="65">
        <f t="shared" si="51"/>
        <v>365.85983814514287</v>
      </c>
      <c r="H73" s="65">
        <f t="shared" si="51"/>
        <v>658.55917397661722</v>
      </c>
      <c r="I73" s="92">
        <f t="shared" ref="I73" si="52">SUM(I66:I72)</f>
        <v>908.23377325964657</v>
      </c>
      <c r="AR73" s="147">
        <v>18.079999999999998</v>
      </c>
      <c r="AS73" s="148" t="s">
        <v>293</v>
      </c>
      <c r="AT73" s="148" t="s">
        <v>294</v>
      </c>
      <c r="AU73" s="148" t="s">
        <v>294</v>
      </c>
      <c r="AV73" s="148" t="s">
        <v>302</v>
      </c>
    </row>
    <row r="74" spans="1:48" ht="15.75" thickBot="1" x14ac:dyDescent="0.3">
      <c r="A74" s="63" t="s">
        <v>155</v>
      </c>
      <c r="B74" s="68">
        <f>B73-B64</f>
        <v>0</v>
      </c>
      <c r="C74" s="68"/>
      <c r="D74" s="80">
        <f>D73-D64</f>
        <v>0</v>
      </c>
      <c r="E74" s="68">
        <f t="shared" ref="E74:H74" si="53">E73-E64</f>
        <v>0</v>
      </c>
      <c r="F74" s="68">
        <f t="shared" si="53"/>
        <v>0</v>
      </c>
      <c r="G74" s="68">
        <f t="shared" si="53"/>
        <v>0</v>
      </c>
      <c r="H74" s="68">
        <f t="shared" si="53"/>
        <v>0</v>
      </c>
      <c r="I74" s="80">
        <f t="shared" ref="I74" si="54">I73-I64</f>
        <v>0</v>
      </c>
      <c r="AR74" s="147">
        <v>18.09</v>
      </c>
      <c r="AS74" s="148" t="s">
        <v>295</v>
      </c>
      <c r="AT74" s="148" t="s">
        <v>296</v>
      </c>
    </row>
    <row r="75" spans="1:48" ht="15.75" thickBot="1" x14ac:dyDescent="0.3">
      <c r="AR75" s="147">
        <v>18.100000000000001</v>
      </c>
      <c r="AS75" s="148" t="s">
        <v>297</v>
      </c>
      <c r="AT75" s="148" t="s">
        <v>298</v>
      </c>
    </row>
    <row r="76" spans="1:48" ht="15.75" thickBot="1" x14ac:dyDescent="0.3">
      <c r="A76" s="10" t="s">
        <v>76</v>
      </c>
      <c r="B76" s="2"/>
      <c r="C76" s="89"/>
      <c r="D76" s="131" t="s">
        <v>190</v>
      </c>
      <c r="E76" s="119" t="s">
        <v>191</v>
      </c>
      <c r="F76" s="118" t="s">
        <v>192</v>
      </c>
      <c r="G76" s="117" t="s">
        <v>193</v>
      </c>
      <c r="H76" s="116" t="s">
        <v>194</v>
      </c>
      <c r="I76" s="141" t="s">
        <v>256</v>
      </c>
      <c r="AR76" s="147">
        <v>18.11</v>
      </c>
      <c r="AS76" s="148" t="s">
        <v>299</v>
      </c>
      <c r="AT76" s="148" t="s">
        <v>300</v>
      </c>
    </row>
    <row r="77" spans="1:48" ht="15.75" thickBot="1" x14ac:dyDescent="0.3">
      <c r="A77" s="2" t="s">
        <v>149</v>
      </c>
      <c r="B77" s="2"/>
      <c r="C77" s="65"/>
      <c r="D77" s="65"/>
      <c r="E77" s="65"/>
      <c r="F77" s="65"/>
      <c r="G77" s="65"/>
      <c r="H77" s="65"/>
      <c r="I77" s="92"/>
      <c r="AR77" s="147">
        <v>18.12</v>
      </c>
      <c r="AS77" s="148" t="s">
        <v>301</v>
      </c>
      <c r="AT77" s="148" t="s">
        <v>302</v>
      </c>
    </row>
    <row r="78" spans="1:48" ht="15.75" thickBot="1" x14ac:dyDescent="0.3">
      <c r="A78" s="2" t="s">
        <v>157</v>
      </c>
      <c r="B78" s="2"/>
      <c r="C78" s="65"/>
      <c r="D78" s="65">
        <f t="shared" ref="D78:I78" si="55">D13*(1+D86)/365*D84</f>
        <v>0.34356164383561644</v>
      </c>
      <c r="E78" s="65">
        <f t="shared" si="55"/>
        <v>1.4197808219178083</v>
      </c>
      <c r="F78" s="65">
        <f t="shared" si="55"/>
        <v>4.788493150684932</v>
      </c>
      <c r="G78" s="65">
        <f t="shared" si="55"/>
        <v>7.6984109589041081</v>
      </c>
      <c r="H78" s="65">
        <f t="shared" si="55"/>
        <v>11.25517808219178</v>
      </c>
      <c r="I78" s="92">
        <f t="shared" si="55"/>
        <v>11.074356164383561</v>
      </c>
      <c r="AR78" s="147">
        <v>19.010000000000002</v>
      </c>
      <c r="AS78" s="148" t="s">
        <v>303</v>
      </c>
      <c r="AT78" s="148" t="s">
        <v>304</v>
      </c>
    </row>
    <row r="79" spans="1:48" ht="15.75" thickBot="1" x14ac:dyDescent="0.3">
      <c r="A79" s="2" t="s">
        <v>158</v>
      </c>
      <c r="B79" s="2"/>
      <c r="C79" s="65"/>
      <c r="D79" s="65">
        <f>+D14+D15+D16+D17+D20+D21</f>
        <v>91.976904761904763</v>
      </c>
      <c r="E79" s="92">
        <f t="shared" ref="E79:I79" si="56">+E14+E15+E16+E17+E20+E21</f>
        <v>101.43770476190475</v>
      </c>
      <c r="F79" s="92">
        <f t="shared" si="56"/>
        <v>162.63950361904759</v>
      </c>
      <c r="G79" s="92">
        <f t="shared" si="56"/>
        <v>161.22111273904758</v>
      </c>
      <c r="H79" s="92">
        <f t="shared" si="56"/>
        <v>161.17461004144761</v>
      </c>
      <c r="I79" s="92">
        <f t="shared" si="56"/>
        <v>161.85531040989562</v>
      </c>
      <c r="AR79" s="147">
        <v>19.02</v>
      </c>
      <c r="AS79" s="148" t="s">
        <v>305</v>
      </c>
      <c r="AT79" s="148" t="s">
        <v>306</v>
      </c>
    </row>
    <row r="80" spans="1:48" x14ac:dyDescent="0.25">
      <c r="A80" s="2" t="s">
        <v>143</v>
      </c>
      <c r="B80" s="2"/>
      <c r="C80" s="65"/>
      <c r="D80" s="65">
        <f>+D18</f>
        <v>13.1</v>
      </c>
      <c r="E80" s="92">
        <f t="shared" ref="E80:I80" si="57">+E18</f>
        <v>40</v>
      </c>
      <c r="F80" s="92">
        <f t="shared" si="57"/>
        <v>58</v>
      </c>
      <c r="G80" s="92">
        <f t="shared" si="57"/>
        <v>84.1</v>
      </c>
      <c r="H80" s="92">
        <f t="shared" si="57"/>
        <v>121.94499999999999</v>
      </c>
      <c r="I80" s="92">
        <f t="shared" si="57"/>
        <v>176.82024999999999</v>
      </c>
    </row>
    <row r="81" spans="1:9" x14ac:dyDescent="0.25">
      <c r="A81" s="2" t="s">
        <v>76</v>
      </c>
      <c r="B81" s="2"/>
      <c r="C81" s="65"/>
      <c r="D81" s="65">
        <f>D77+D78-D79-D80</f>
        <v>-104.73334311806914</v>
      </c>
      <c r="E81" s="65">
        <f t="shared" ref="E81:H81" si="58">E77+E78-E79-E80</f>
        <v>-140.01792393998693</v>
      </c>
      <c r="F81" s="65">
        <f t="shared" si="58"/>
        <v>-215.85101046836266</v>
      </c>
      <c r="G81" s="65">
        <f t="shared" si="58"/>
        <v>-237.62270178014347</v>
      </c>
      <c r="H81" s="65">
        <f t="shared" si="58"/>
        <v>-271.86443195925585</v>
      </c>
      <c r="I81" s="92">
        <f t="shared" ref="I81" si="59">I77+I78-I79-I80</f>
        <v>-327.60120424551201</v>
      </c>
    </row>
    <row r="82" spans="1:9" x14ac:dyDescent="0.25">
      <c r="A82" s="2" t="s">
        <v>159</v>
      </c>
      <c r="B82" s="2"/>
      <c r="C82" s="65"/>
      <c r="D82" s="65">
        <f>C81-D81</f>
        <v>104.73334311806914</v>
      </c>
      <c r="E82" s="65">
        <f>D81-E81</f>
        <v>35.284580821917785</v>
      </c>
      <c r="F82" s="65">
        <f t="shared" ref="F82:I82" si="60">E81-F81</f>
        <v>75.83308652837573</v>
      </c>
      <c r="G82" s="65">
        <f t="shared" si="60"/>
        <v>21.771691311780813</v>
      </c>
      <c r="H82" s="65">
        <f t="shared" si="60"/>
        <v>34.24173017911238</v>
      </c>
      <c r="I82" s="92">
        <f t="shared" si="60"/>
        <v>55.736772286256155</v>
      </c>
    </row>
    <row r="83" spans="1:9" x14ac:dyDescent="0.25">
      <c r="A83" s="62" t="s">
        <v>160</v>
      </c>
      <c r="B83" s="2"/>
      <c r="C83" s="66"/>
      <c r="D83" s="66"/>
      <c r="E83" s="66"/>
      <c r="F83" s="66"/>
      <c r="G83" s="66"/>
      <c r="H83" s="66"/>
      <c r="I83" s="93"/>
    </row>
    <row r="84" spans="1:9" x14ac:dyDescent="0.25">
      <c r="A84" s="62" t="s">
        <v>161</v>
      </c>
      <c r="B84" s="2"/>
      <c r="C84" s="66"/>
      <c r="D84" s="66">
        <v>5</v>
      </c>
      <c r="E84" s="66">
        <v>5</v>
      </c>
      <c r="F84" s="66">
        <v>5</v>
      </c>
      <c r="G84" s="66">
        <v>5</v>
      </c>
      <c r="H84" s="66">
        <v>5</v>
      </c>
      <c r="I84" s="93">
        <v>5</v>
      </c>
    </row>
    <row r="85" spans="1:9" x14ac:dyDescent="0.25">
      <c r="A85" s="62" t="s">
        <v>162</v>
      </c>
      <c r="B85" s="2"/>
      <c r="C85" s="66"/>
      <c r="D85" s="66"/>
      <c r="E85" s="66"/>
      <c r="F85" s="66"/>
      <c r="G85" s="66"/>
      <c r="H85" s="66"/>
      <c r="I85" s="93"/>
    </row>
    <row r="86" spans="1:9" x14ac:dyDescent="0.25">
      <c r="A86" s="62" t="s">
        <v>163</v>
      </c>
      <c r="B86" s="2"/>
      <c r="C86" s="3"/>
      <c r="D86" s="3">
        <v>0.2</v>
      </c>
      <c r="E86" s="3">
        <v>0.2</v>
      </c>
      <c r="F86" s="3">
        <v>0.2</v>
      </c>
      <c r="G86" s="3">
        <v>0.2</v>
      </c>
      <c r="H86" s="3">
        <v>0.2</v>
      </c>
      <c r="I86" s="94">
        <v>0.2</v>
      </c>
    </row>
  </sheetData>
  <mergeCells count="83">
    <mergeCell ref="D2:I2"/>
    <mergeCell ref="Y19:AA19"/>
    <mergeCell ref="O29:P29"/>
    <mergeCell ref="O8:Q8"/>
    <mergeCell ref="T3:U3"/>
    <mergeCell ref="V3:W3"/>
    <mergeCell ref="Q46:S46"/>
    <mergeCell ref="O40:P40"/>
    <mergeCell ref="O41:P41"/>
    <mergeCell ref="O42:P42"/>
    <mergeCell ref="O43:P43"/>
    <mergeCell ref="O44:P44"/>
    <mergeCell ref="N46:P46"/>
    <mergeCell ref="AI9:AK9"/>
    <mergeCell ref="K41:L41"/>
    <mergeCell ref="K46:L46"/>
    <mergeCell ref="A4:B5"/>
    <mergeCell ref="A2:C2"/>
    <mergeCell ref="M17:O17"/>
    <mergeCell ref="M4:N4"/>
    <mergeCell ref="M12:O12"/>
    <mergeCell ref="O4:Q4"/>
    <mergeCell ref="M25:N25"/>
    <mergeCell ref="O25:Q25"/>
    <mergeCell ref="M13:N13"/>
    <mergeCell ref="M14:N14"/>
    <mergeCell ref="O39:P39"/>
    <mergeCell ref="P12:Q12"/>
    <mergeCell ref="M8:N8"/>
    <mergeCell ref="AI33:AK33"/>
    <mergeCell ref="AF2:AG2"/>
    <mergeCell ref="AK2:AL2"/>
    <mergeCell ref="AP3:AQ3"/>
    <mergeCell ref="Y32:AA32"/>
    <mergeCell ref="Y20:AA20"/>
    <mergeCell ref="AD13:AF13"/>
    <mergeCell ref="AD20:AF20"/>
    <mergeCell ref="AD32:AF32"/>
    <mergeCell ref="AI21:AK21"/>
    <mergeCell ref="Y4:AA4"/>
    <mergeCell ref="Y13:AA13"/>
    <mergeCell ref="Y8:AA8"/>
    <mergeCell ref="AD4:AF4"/>
    <mergeCell ref="AD8:AF8"/>
    <mergeCell ref="AI5:AK5"/>
    <mergeCell ref="AN5:AP5"/>
    <mergeCell ref="AN9:AP9"/>
    <mergeCell ref="AN14:AP14"/>
    <mergeCell ref="AN21:AP21"/>
    <mergeCell ref="AN33:AP33"/>
    <mergeCell ref="AU3:AV3"/>
    <mergeCell ref="AS5:AU5"/>
    <mergeCell ref="AS9:AU9"/>
    <mergeCell ref="AS21:AU21"/>
    <mergeCell ref="AS33:AU33"/>
    <mergeCell ref="AY33:BA33"/>
    <mergeCell ref="BF3:BG3"/>
    <mergeCell ref="BD5:BF5"/>
    <mergeCell ref="BD9:BF9"/>
    <mergeCell ref="BD21:BF21"/>
    <mergeCell ref="BD33:BF33"/>
    <mergeCell ref="BA3:BB3"/>
    <mergeCell ref="AY5:BA5"/>
    <mergeCell ref="AY9:BA9"/>
    <mergeCell ref="AY14:BA14"/>
    <mergeCell ref="AY21:BA21"/>
    <mergeCell ref="BI14:BK14"/>
    <mergeCell ref="BI21:BK21"/>
    <mergeCell ref="BN21:BP21"/>
    <mergeCell ref="BI33:BK33"/>
    <mergeCell ref="BN33:BP33"/>
    <mergeCell ref="BK3:BL3"/>
    <mergeCell ref="BP3:BQ3"/>
    <mergeCell ref="BI5:BK5"/>
    <mergeCell ref="BN5:BP5"/>
    <mergeCell ref="BI9:BK9"/>
    <mergeCell ref="BN9:BP9"/>
    <mergeCell ref="N62:O64"/>
    <mergeCell ref="N50:O50"/>
    <mergeCell ref="N51:O53"/>
    <mergeCell ref="N56:O56"/>
    <mergeCell ref="N57:O59"/>
    <mergeCell ref="N61:O61"/>
  </mergeCells>
  <pageMargins left="0.7" right="0.7" top="0.75" bottom="0.75" header="0.3" footer="0.3"/>
  <ignoredErrors>
    <ignoredError sqref="D55 D59 D67:D68 F25 F13:F14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15" zoomScale="85" zoomScaleNormal="85" workbookViewId="0">
      <selection activeCell="D37" sqref="D37"/>
    </sheetView>
  </sheetViews>
  <sheetFormatPr baseColWidth="10" defaultColWidth="10.85546875" defaultRowHeight="15" x14ac:dyDescent="0.25"/>
  <cols>
    <col min="1" max="1" width="16.7109375" style="15" customWidth="1"/>
    <col min="2" max="2" width="31.85546875" style="15" customWidth="1"/>
    <col min="3" max="3" width="15" style="15" customWidth="1"/>
    <col min="4" max="4" width="25" style="15" customWidth="1"/>
    <col min="5" max="5" width="13.140625" style="15" customWidth="1"/>
    <col min="6" max="8" width="13.5703125" style="15" customWidth="1"/>
    <col min="9" max="16384" width="10.85546875" style="15"/>
  </cols>
  <sheetData>
    <row r="1" spans="1:8" ht="19.5" thickBot="1" x14ac:dyDescent="0.35">
      <c r="A1" s="14" t="s">
        <v>11</v>
      </c>
      <c r="B1" s="199" t="s">
        <v>190</v>
      </c>
      <c r="C1" s="200"/>
      <c r="D1" s="119" t="s">
        <v>191</v>
      </c>
      <c r="E1" s="118" t="s">
        <v>192</v>
      </c>
      <c r="F1" s="117" t="s">
        <v>193</v>
      </c>
      <c r="G1" s="116" t="s">
        <v>194</v>
      </c>
      <c r="H1" s="141" t="s">
        <v>256</v>
      </c>
    </row>
    <row r="2" spans="1:8" x14ac:dyDescent="0.25">
      <c r="A2" s="15" t="s">
        <v>13</v>
      </c>
      <c r="B2" s="16"/>
      <c r="C2" s="17" t="s">
        <v>14</v>
      </c>
      <c r="D2" s="18" t="s">
        <v>14</v>
      </c>
      <c r="E2" s="18" t="s">
        <v>14</v>
      </c>
      <c r="F2" s="18" t="s">
        <v>14</v>
      </c>
      <c r="G2" s="18" t="s">
        <v>14</v>
      </c>
      <c r="H2" s="18" t="s">
        <v>14</v>
      </c>
    </row>
    <row r="3" spans="1:8" x14ac:dyDescent="0.25">
      <c r="B3" s="19" t="s">
        <v>15</v>
      </c>
      <c r="C3" s="20">
        <v>44893</v>
      </c>
      <c r="D3" s="20">
        <v>44893</v>
      </c>
      <c r="E3" s="20">
        <v>44893</v>
      </c>
      <c r="F3" s="21">
        <f>+E3+($A$5*E3)</f>
        <v>45790.86</v>
      </c>
      <c r="G3" s="21">
        <f>+F3+($A$5*F3)</f>
        <v>46706.677199999998</v>
      </c>
      <c r="H3" s="21">
        <f>+G3+($A$5*G3)</f>
        <v>47640.810743999995</v>
      </c>
    </row>
    <row r="4" spans="1:8" x14ac:dyDescent="0.25">
      <c r="B4" s="19" t="s">
        <v>16</v>
      </c>
      <c r="C4" s="20">
        <v>1300</v>
      </c>
      <c r="D4" s="21">
        <v>1300</v>
      </c>
      <c r="E4" s="21">
        <v>1300</v>
      </c>
      <c r="F4" s="21">
        <v>1300</v>
      </c>
      <c r="G4" s="21">
        <v>1300</v>
      </c>
      <c r="H4" s="21">
        <v>1300</v>
      </c>
    </row>
    <row r="5" spans="1:8" x14ac:dyDescent="0.25">
      <c r="A5" s="99">
        <v>0.02</v>
      </c>
      <c r="B5" s="124" t="s">
        <v>17</v>
      </c>
      <c r="C5" s="20">
        <v>5223</v>
      </c>
      <c r="D5" s="21">
        <f>+C5+($A$5*C5)</f>
        <v>5327.46</v>
      </c>
      <c r="E5" s="21">
        <f t="shared" ref="E5:H5" si="0">+D5+($A$5*D5)</f>
        <v>5434.0092000000004</v>
      </c>
      <c r="F5" s="21">
        <f t="shared" si="0"/>
        <v>5542.6893840000002</v>
      </c>
      <c r="G5" s="21">
        <f t="shared" si="0"/>
        <v>5653.5431716800003</v>
      </c>
      <c r="H5" s="21">
        <f t="shared" si="0"/>
        <v>5766.6140351136</v>
      </c>
    </row>
    <row r="6" spans="1:8" x14ac:dyDescent="0.25">
      <c r="A6" s="97"/>
      <c r="B6" s="124" t="s">
        <v>18</v>
      </c>
      <c r="C6" s="20">
        <v>1824</v>
      </c>
      <c r="D6" s="21">
        <f>+C6+($A$5*C6)</f>
        <v>1860.48</v>
      </c>
      <c r="E6" s="21">
        <f t="shared" ref="E6:H6" si="1">+D6+($A$5*D6)</f>
        <v>1897.6895999999999</v>
      </c>
      <c r="F6" s="21">
        <f t="shared" si="1"/>
        <v>1935.6433919999999</v>
      </c>
      <c r="G6" s="21">
        <f t="shared" si="1"/>
        <v>1974.3562598399999</v>
      </c>
      <c r="H6" s="21">
        <f t="shared" si="1"/>
        <v>2013.8433850367999</v>
      </c>
    </row>
    <row r="7" spans="1:8" x14ac:dyDescent="0.25">
      <c r="B7" s="19" t="s">
        <v>19</v>
      </c>
      <c r="C7" s="20">
        <v>13407.67</v>
      </c>
      <c r="D7" s="20">
        <v>13407.67</v>
      </c>
      <c r="E7" s="20">
        <v>13407.67</v>
      </c>
      <c r="F7" s="20"/>
      <c r="G7" s="20"/>
      <c r="H7" s="20"/>
    </row>
    <row r="8" spans="1:8" x14ac:dyDescent="0.25">
      <c r="B8" s="19" t="s">
        <v>316</v>
      </c>
      <c r="C8" s="72"/>
      <c r="D8" s="73"/>
      <c r="E8" s="20">
        <v>13407.67</v>
      </c>
      <c r="F8" s="20">
        <v>13407.67</v>
      </c>
      <c r="G8" s="20">
        <v>13407.67</v>
      </c>
      <c r="H8" s="20"/>
    </row>
    <row r="9" spans="1:8" x14ac:dyDescent="0.25">
      <c r="B9" s="71"/>
      <c r="C9" s="72"/>
      <c r="D9" s="73"/>
      <c r="E9" s="73"/>
      <c r="F9" s="73"/>
      <c r="G9" s="73"/>
      <c r="H9" s="73"/>
    </row>
    <row r="10" spans="1:8" ht="15.75" thickBot="1" x14ac:dyDescent="0.3">
      <c r="B10" s="22" t="s">
        <v>20</v>
      </c>
      <c r="C10" s="23">
        <f t="shared" ref="C10:H10" si="2">SUM(C3:C9)</f>
        <v>66647.67</v>
      </c>
      <c r="D10" s="24">
        <f t="shared" si="2"/>
        <v>66788.61</v>
      </c>
      <c r="E10" s="24">
        <f t="shared" si="2"/>
        <v>80340.038799999995</v>
      </c>
      <c r="F10" s="24">
        <f t="shared" si="2"/>
        <v>67976.862775999994</v>
      </c>
      <c r="G10" s="24">
        <f t="shared" si="2"/>
        <v>69042.24663152</v>
      </c>
      <c r="H10" s="24">
        <f t="shared" si="2"/>
        <v>56721.268164150395</v>
      </c>
    </row>
    <row r="11" spans="1:8" ht="15.75" thickBot="1" x14ac:dyDescent="0.3"/>
    <row r="12" spans="1:8" ht="18.75" x14ac:dyDescent="0.3">
      <c r="B12" s="214" t="s">
        <v>21</v>
      </c>
      <c r="C12" s="215"/>
      <c r="D12" s="214" t="s">
        <v>317</v>
      </c>
      <c r="E12" s="215"/>
    </row>
    <row r="13" spans="1:8" x14ac:dyDescent="0.25">
      <c r="B13" s="19" t="s">
        <v>22</v>
      </c>
      <c r="C13" s="21"/>
      <c r="D13" s="19" t="s">
        <v>22</v>
      </c>
      <c r="E13" s="21"/>
    </row>
    <row r="14" spans="1:8" x14ac:dyDescent="0.25">
      <c r="B14" s="19" t="s">
        <v>23</v>
      </c>
      <c r="C14" s="25">
        <f>C3/4</f>
        <v>11223.25</v>
      </c>
      <c r="D14" s="19" t="s">
        <v>23</v>
      </c>
      <c r="E14" s="25">
        <f>E3/4</f>
        <v>11223.25</v>
      </c>
    </row>
    <row r="15" spans="1:8" x14ac:dyDescent="0.25">
      <c r="B15" s="19" t="s">
        <v>24</v>
      </c>
      <c r="C15" s="21">
        <v>6000</v>
      </c>
      <c r="D15" s="19" t="s">
        <v>24</v>
      </c>
      <c r="E15" s="21">
        <v>6000</v>
      </c>
    </row>
    <row r="16" spans="1:8" x14ac:dyDescent="0.25">
      <c r="B16" s="19" t="s">
        <v>25</v>
      </c>
      <c r="C16" s="21">
        <v>20000</v>
      </c>
      <c r="D16" s="19" t="s">
        <v>25</v>
      </c>
      <c r="E16" s="21">
        <v>20000</v>
      </c>
    </row>
    <row r="17" spans="1:8" x14ac:dyDescent="0.25">
      <c r="B17" s="19" t="s">
        <v>26</v>
      </c>
      <c r="C17" s="21">
        <v>3000</v>
      </c>
      <c r="D17" s="19" t="s">
        <v>26</v>
      </c>
      <c r="E17" s="21">
        <v>3000</v>
      </c>
    </row>
    <row r="18" spans="1:8" x14ac:dyDescent="0.25">
      <c r="B18" s="19"/>
      <c r="C18" s="21"/>
      <c r="D18" s="19"/>
      <c r="E18" s="21"/>
    </row>
    <row r="19" spans="1:8" ht="15.75" thickBot="1" x14ac:dyDescent="0.3">
      <c r="B19" s="22" t="s">
        <v>27</v>
      </c>
      <c r="C19" s="24">
        <f>SUM(C14:C17)</f>
        <v>40223.25</v>
      </c>
      <c r="D19" s="22" t="s">
        <v>27</v>
      </c>
      <c r="E19" s="24">
        <f>SUM(E14:E17)</f>
        <v>40223.25</v>
      </c>
    </row>
    <row r="20" spans="1:8" ht="15.75" thickBot="1" x14ac:dyDescent="0.3"/>
    <row r="21" spans="1:8" x14ac:dyDescent="0.25">
      <c r="A21" s="15" t="s">
        <v>28</v>
      </c>
      <c r="B21" s="16"/>
      <c r="C21" s="17" t="s">
        <v>14</v>
      </c>
      <c r="D21" s="18" t="s">
        <v>14</v>
      </c>
      <c r="E21" s="18" t="s">
        <v>14</v>
      </c>
      <c r="F21" s="18" t="s">
        <v>14</v>
      </c>
      <c r="G21" s="18" t="s">
        <v>14</v>
      </c>
      <c r="H21" s="18" t="s">
        <v>14</v>
      </c>
    </row>
    <row r="22" spans="1:8" x14ac:dyDescent="0.25">
      <c r="B22" s="20" t="s">
        <v>183</v>
      </c>
      <c r="C22" s="20">
        <v>12000</v>
      </c>
      <c r="D22" s="20">
        <v>40063</v>
      </c>
      <c r="E22" s="20">
        <v>40063</v>
      </c>
      <c r="F22" s="20">
        <v>84000</v>
      </c>
      <c r="G22" s="20">
        <v>121100</v>
      </c>
      <c r="H22" s="20">
        <v>121100</v>
      </c>
    </row>
    <row r="23" spans="1:8" x14ac:dyDescent="0.25">
      <c r="B23" s="19" t="s">
        <v>29</v>
      </c>
      <c r="C23" s="20">
        <v>3360</v>
      </c>
      <c r="D23" s="20">
        <v>3360</v>
      </c>
      <c r="E23" s="20">
        <v>3360</v>
      </c>
      <c r="F23" s="20">
        <v>3360</v>
      </c>
      <c r="G23" s="20">
        <v>3360</v>
      </c>
      <c r="H23" s="20">
        <v>3360</v>
      </c>
    </row>
    <row r="24" spans="1:8" x14ac:dyDescent="0.25">
      <c r="B24" s="19" t="s">
        <v>184</v>
      </c>
      <c r="C24" s="20">
        <v>1086</v>
      </c>
      <c r="D24" s="20">
        <v>1086</v>
      </c>
      <c r="E24" s="20">
        <v>1086</v>
      </c>
      <c r="F24" s="20">
        <v>1086</v>
      </c>
      <c r="G24" s="20">
        <v>1086</v>
      </c>
      <c r="H24" s="20">
        <v>1086</v>
      </c>
    </row>
    <row r="25" spans="1:8" x14ac:dyDescent="0.25">
      <c r="B25" s="19" t="s">
        <v>30</v>
      </c>
      <c r="C25" s="20">
        <v>500</v>
      </c>
      <c r="D25" s="21">
        <v>360</v>
      </c>
      <c r="E25" s="21">
        <v>360</v>
      </c>
      <c r="F25" s="21">
        <v>360</v>
      </c>
      <c r="G25" s="21">
        <v>360</v>
      </c>
      <c r="H25" s="21">
        <v>360</v>
      </c>
    </row>
    <row r="26" spans="1:8" x14ac:dyDescent="0.25">
      <c r="B26" s="19" t="s">
        <v>31</v>
      </c>
      <c r="C26" s="20">
        <v>3600</v>
      </c>
      <c r="D26" s="21">
        <v>3600</v>
      </c>
      <c r="E26" s="21">
        <v>3600</v>
      </c>
      <c r="F26" s="21">
        <v>3600</v>
      </c>
      <c r="G26" s="21">
        <v>3600</v>
      </c>
      <c r="H26" s="21">
        <v>3600</v>
      </c>
    </row>
    <row r="27" spans="1:8" x14ac:dyDescent="0.25">
      <c r="B27" s="19" t="s">
        <v>32</v>
      </c>
      <c r="C27" s="26">
        <f t="shared" ref="C27:H27" si="3">+SUM(C22:C26)</f>
        <v>20546</v>
      </c>
      <c r="D27" s="26">
        <f t="shared" si="3"/>
        <v>48469</v>
      </c>
      <c r="E27" s="26">
        <f t="shared" si="3"/>
        <v>48469</v>
      </c>
      <c r="F27" s="26">
        <f t="shared" si="3"/>
        <v>92406</v>
      </c>
      <c r="G27" s="26">
        <f t="shared" si="3"/>
        <v>129506</v>
      </c>
      <c r="H27" s="26">
        <f t="shared" si="3"/>
        <v>129506</v>
      </c>
    </row>
    <row r="28" spans="1:8" x14ac:dyDescent="0.25">
      <c r="B28" s="19"/>
      <c r="C28" s="20"/>
      <c r="D28" s="21"/>
      <c r="E28" s="21"/>
      <c r="F28" s="21"/>
      <c r="G28" s="21"/>
      <c r="H28" s="21"/>
    </row>
    <row r="29" spans="1:8" ht="15.75" thickBot="1" x14ac:dyDescent="0.3">
      <c r="B29" s="22" t="s">
        <v>33</v>
      </c>
      <c r="C29" s="23">
        <f>C10+C27</f>
        <v>87193.67</v>
      </c>
      <c r="D29" s="24">
        <f>D10+D27</f>
        <v>115257.61</v>
      </c>
      <c r="E29" s="24">
        <f>E10+E27+E19</f>
        <v>169032.28879999998</v>
      </c>
      <c r="F29" s="24">
        <f>F10+F27</f>
        <v>160382.86277599999</v>
      </c>
      <c r="G29" s="24">
        <f t="shared" ref="G29:H29" si="4">G10+G27</f>
        <v>198548.24663151999</v>
      </c>
      <c r="H29" s="24">
        <f t="shared" si="4"/>
        <v>186227.26816415039</v>
      </c>
    </row>
    <row r="30" spans="1:8" ht="15.75" thickBot="1" x14ac:dyDescent="0.3"/>
    <row r="31" spans="1:8" x14ac:dyDescent="0.25">
      <c r="A31" s="15" t="s">
        <v>34</v>
      </c>
      <c r="B31" s="16" t="s">
        <v>12</v>
      </c>
      <c r="C31" s="17" t="s">
        <v>14</v>
      </c>
      <c r="D31" s="18" t="s">
        <v>14</v>
      </c>
      <c r="E31" s="18" t="s">
        <v>14</v>
      </c>
      <c r="F31" s="18" t="s">
        <v>14</v>
      </c>
      <c r="G31" s="18" t="s">
        <v>14</v>
      </c>
      <c r="H31" s="18" t="s">
        <v>14</v>
      </c>
    </row>
    <row r="32" spans="1:8" x14ac:dyDescent="0.25">
      <c r="A32" s="15" t="s">
        <v>229</v>
      </c>
      <c r="B32" s="19" t="s">
        <v>35</v>
      </c>
      <c r="C32" s="20">
        <v>8</v>
      </c>
      <c r="D32" s="20">
        <v>8</v>
      </c>
      <c r="E32" s="20">
        <v>13</v>
      </c>
      <c r="F32" s="20">
        <v>13</v>
      </c>
      <c r="G32" s="20">
        <v>13</v>
      </c>
      <c r="H32" s="20">
        <v>13</v>
      </c>
    </row>
    <row r="33" spans="1:8" x14ac:dyDescent="0.25">
      <c r="A33" s="15" t="s">
        <v>234</v>
      </c>
      <c r="B33" s="19" t="s">
        <v>36</v>
      </c>
      <c r="C33" s="27">
        <v>17</v>
      </c>
      <c r="D33" s="25">
        <v>17</v>
      </c>
      <c r="E33" s="25">
        <v>17</v>
      </c>
      <c r="F33" s="25">
        <v>17</v>
      </c>
      <c r="G33" s="25">
        <v>17</v>
      </c>
      <c r="H33" s="25">
        <v>17</v>
      </c>
    </row>
    <row r="34" spans="1:8" x14ac:dyDescent="0.25">
      <c r="B34" s="19" t="s">
        <v>37</v>
      </c>
      <c r="C34" s="27">
        <v>15</v>
      </c>
      <c r="D34" s="25">
        <v>15</v>
      </c>
      <c r="E34" s="25">
        <v>15</v>
      </c>
      <c r="F34" s="25">
        <v>15</v>
      </c>
      <c r="G34" s="25">
        <v>15</v>
      </c>
      <c r="H34" s="25">
        <v>15</v>
      </c>
    </row>
    <row r="35" spans="1:8" x14ac:dyDescent="0.25">
      <c r="B35" s="19" t="s">
        <v>38</v>
      </c>
      <c r="C35" s="27">
        <v>65</v>
      </c>
      <c r="D35" s="25">
        <v>65</v>
      </c>
      <c r="E35" s="25">
        <v>65</v>
      </c>
      <c r="F35" s="25">
        <v>65</v>
      </c>
      <c r="G35" s="25">
        <v>65</v>
      </c>
      <c r="H35" s="25">
        <v>65</v>
      </c>
    </row>
    <row r="36" spans="1:8" x14ac:dyDescent="0.25">
      <c r="B36" s="19" t="s">
        <v>39</v>
      </c>
      <c r="C36" s="20">
        <f>0.01*(C35*C33+(100-65)*C34)</f>
        <v>16.3</v>
      </c>
      <c r="D36" s="21">
        <f>0.01*(D35*D33+(100-65)*D34)</f>
        <v>16.3</v>
      </c>
      <c r="E36" s="21">
        <f>0.01*(E35*E33+(100-65)*E34)</f>
        <v>16.3</v>
      </c>
      <c r="F36" s="21">
        <f>0.01*(F35*F33+(100-65)*F34)</f>
        <v>16.3</v>
      </c>
      <c r="G36" s="21">
        <f t="shared" ref="G36:H36" si="5">0.01*(G35*G33+(100-65)*G34)</f>
        <v>16.3</v>
      </c>
      <c r="H36" s="21">
        <f t="shared" si="5"/>
        <v>16.3</v>
      </c>
    </row>
    <row r="37" spans="1:8" x14ac:dyDescent="0.25">
      <c r="B37" s="19" t="s">
        <v>40</v>
      </c>
      <c r="C37" s="27">
        <v>0.8</v>
      </c>
      <c r="D37" s="25">
        <v>3.2</v>
      </c>
      <c r="E37" s="25">
        <v>5.73</v>
      </c>
      <c r="F37" s="25">
        <v>9.2100000000000009</v>
      </c>
      <c r="G37" s="25">
        <v>13.45</v>
      </c>
      <c r="H37" s="25">
        <v>13.25</v>
      </c>
    </row>
    <row r="38" spans="1:8" x14ac:dyDescent="0.25">
      <c r="B38" s="19" t="s">
        <v>41</v>
      </c>
      <c r="C38" s="27">
        <v>4</v>
      </c>
      <c r="D38" s="25">
        <v>5</v>
      </c>
      <c r="E38" s="25">
        <v>5</v>
      </c>
      <c r="F38" s="25">
        <v>5</v>
      </c>
      <c r="G38" s="25">
        <v>5</v>
      </c>
      <c r="H38" s="25">
        <v>5</v>
      </c>
    </row>
    <row r="39" spans="1:8" x14ac:dyDescent="0.25">
      <c r="B39" s="19" t="s">
        <v>42</v>
      </c>
      <c r="C39" s="27">
        <v>48</v>
      </c>
      <c r="D39" s="25">
        <v>48</v>
      </c>
      <c r="E39" s="25">
        <v>48</v>
      </c>
      <c r="F39" s="25">
        <v>48</v>
      </c>
      <c r="G39" s="25">
        <v>48</v>
      </c>
      <c r="H39" s="25">
        <v>48</v>
      </c>
    </row>
    <row r="40" spans="1:8" ht="15.75" thickBot="1" x14ac:dyDescent="0.3">
      <c r="B40" s="22" t="s">
        <v>43</v>
      </c>
      <c r="C40" s="23">
        <f>C32*C36*C37*C38*C39</f>
        <v>20029.440000000002</v>
      </c>
      <c r="D40" s="24">
        <f>D32*D36*D37*D38*D39</f>
        <v>100147.20000000001</v>
      </c>
      <c r="E40" s="24">
        <f>E32*E36*E37*E38*E39</f>
        <v>291404.88</v>
      </c>
      <c r="F40" s="24">
        <f>F32*F36*F37*F38*F39</f>
        <v>468383.76</v>
      </c>
      <c r="G40" s="24">
        <f t="shared" ref="G40:H40" si="6">G32*G36*G37*G38*G39</f>
        <v>684013.2</v>
      </c>
      <c r="H40" s="24">
        <f t="shared" si="6"/>
        <v>673842</v>
      </c>
    </row>
    <row r="41" spans="1:8" x14ac:dyDescent="0.25">
      <c r="A41"/>
      <c r="B41"/>
      <c r="C41"/>
      <c r="D41"/>
      <c r="E41"/>
      <c r="F41"/>
      <c r="G41"/>
      <c r="H41"/>
    </row>
    <row r="42" spans="1:8" customFormat="1" x14ac:dyDescent="0.25"/>
    <row r="43" spans="1:8" x14ac:dyDescent="0.25">
      <c r="A43" s="15" t="s">
        <v>230</v>
      </c>
      <c r="B43" s="19" t="s">
        <v>231</v>
      </c>
      <c r="C43" s="126">
        <v>101796</v>
      </c>
      <c r="D43" s="126">
        <v>101796</v>
      </c>
      <c r="E43" s="126">
        <v>101796</v>
      </c>
      <c r="F43" s="126">
        <v>101796</v>
      </c>
      <c r="G43" s="126">
        <v>101796</v>
      </c>
      <c r="H43" s="126">
        <v>101796</v>
      </c>
    </row>
    <row r="44" spans="1:8" x14ac:dyDescent="0.25">
      <c r="B44" s="19" t="s">
        <v>232</v>
      </c>
      <c r="C44" s="125">
        <v>0</v>
      </c>
      <c r="D44" s="125">
        <v>0.17</v>
      </c>
      <c r="E44" s="125">
        <v>0.4</v>
      </c>
      <c r="F44" s="125">
        <v>0.6</v>
      </c>
      <c r="G44" s="125">
        <v>0.9</v>
      </c>
      <c r="H44" s="125">
        <v>0.9</v>
      </c>
    </row>
    <row r="45" spans="1:8" ht="15.75" thickBot="1" x14ac:dyDescent="0.3">
      <c r="B45" s="22" t="s">
        <v>44</v>
      </c>
      <c r="C45" s="23">
        <f>+C43*C44</f>
        <v>0</v>
      </c>
      <c r="D45" s="23">
        <f t="shared" ref="D45:G45" si="7">+D43*D44</f>
        <v>17305.32</v>
      </c>
      <c r="E45" s="23">
        <f t="shared" si="7"/>
        <v>40718.400000000001</v>
      </c>
      <c r="F45" s="23">
        <f t="shared" si="7"/>
        <v>61077.599999999999</v>
      </c>
      <c r="G45" s="23">
        <f t="shared" si="7"/>
        <v>91616.400000000009</v>
      </c>
      <c r="H45" s="23">
        <f t="shared" ref="H45" si="8">+H43*H44</f>
        <v>91616.400000000009</v>
      </c>
    </row>
    <row r="46" spans="1:8" ht="15.75" thickBot="1" x14ac:dyDescent="0.3"/>
    <row r="47" spans="1:8" ht="18.75" x14ac:dyDescent="0.25">
      <c r="A47" s="28" t="s">
        <v>45</v>
      </c>
      <c r="B47" s="29" t="s">
        <v>12</v>
      </c>
      <c r="C47" s="30"/>
      <c r="D47" s="31"/>
      <c r="E47" s="31"/>
      <c r="F47" s="31"/>
      <c r="G47" s="31"/>
      <c r="H47" s="31"/>
    </row>
    <row r="48" spans="1:8" x14ac:dyDescent="0.25">
      <c r="B48" s="19" t="s">
        <v>46</v>
      </c>
      <c r="C48" s="32">
        <f>C29</f>
        <v>87193.67</v>
      </c>
      <c r="D48" s="33">
        <f>C29</f>
        <v>87193.67</v>
      </c>
      <c r="E48" s="33">
        <f>D29</f>
        <v>115257.61</v>
      </c>
      <c r="F48" s="33">
        <f>E29</f>
        <v>169032.28879999998</v>
      </c>
      <c r="G48" s="33">
        <f>+F48</f>
        <v>169032.28879999998</v>
      </c>
      <c r="H48" s="33">
        <f>+G48</f>
        <v>169032.28879999998</v>
      </c>
    </row>
    <row r="49" spans="1:8" x14ac:dyDescent="0.25">
      <c r="B49" s="19" t="s">
        <v>47</v>
      </c>
      <c r="C49" s="20">
        <f t="shared" ref="C49:H49" si="9">C40+C45</f>
        <v>20029.440000000002</v>
      </c>
      <c r="D49" s="21">
        <f t="shared" si="9"/>
        <v>117452.52000000002</v>
      </c>
      <c r="E49" s="21">
        <f t="shared" si="9"/>
        <v>332123.28000000003</v>
      </c>
      <c r="F49" s="21">
        <f t="shared" si="9"/>
        <v>529461.36</v>
      </c>
      <c r="G49" s="21">
        <f t="shared" si="9"/>
        <v>775629.6</v>
      </c>
      <c r="H49" s="21">
        <f t="shared" si="9"/>
        <v>765458.4</v>
      </c>
    </row>
    <row r="50" spans="1:8" ht="15.75" thickBot="1" x14ac:dyDescent="0.3">
      <c r="B50" s="22" t="s">
        <v>48</v>
      </c>
      <c r="C50" s="34">
        <f>C49-C48</f>
        <v>-67164.23</v>
      </c>
      <c r="D50" s="35">
        <f>D49-D48</f>
        <v>30258.85000000002</v>
      </c>
      <c r="E50" s="35">
        <f>E49-E48</f>
        <v>216865.67000000004</v>
      </c>
      <c r="F50" s="35">
        <f>F49-F48</f>
        <v>360429.07120000001</v>
      </c>
      <c r="G50" s="35">
        <f t="shared" ref="G50:H50" si="10">G49-G48</f>
        <v>606597.3112</v>
      </c>
      <c r="H50" s="35">
        <f t="shared" si="10"/>
        <v>596426.11120000004</v>
      </c>
    </row>
    <row r="51" spans="1:8" ht="15.75" thickBot="1" x14ac:dyDescent="0.3"/>
    <row r="52" spans="1:8" x14ac:dyDescent="0.25">
      <c r="A52" s="28" t="s">
        <v>49</v>
      </c>
      <c r="B52" s="36" t="s">
        <v>50</v>
      </c>
      <c r="C52" s="17" t="s">
        <v>51</v>
      </c>
      <c r="D52" s="18" t="s">
        <v>52</v>
      </c>
    </row>
    <row r="53" spans="1:8" x14ac:dyDescent="0.25">
      <c r="B53" s="19">
        <v>1</v>
      </c>
      <c r="C53" s="37">
        <f>C50</f>
        <v>-67164.23</v>
      </c>
      <c r="D53" s="38">
        <f>C53/B53</f>
        <v>-67164.23</v>
      </c>
    </row>
    <row r="54" spans="1:8" x14ac:dyDescent="0.25">
      <c r="B54" s="19">
        <v>2</v>
      </c>
      <c r="C54" s="37">
        <f>D50+C53</f>
        <v>-36905.379999999976</v>
      </c>
      <c r="D54" s="38">
        <f t="shared" ref="D54:D57" si="11">C54/B54</f>
        <v>-18452.689999999988</v>
      </c>
    </row>
    <row r="55" spans="1:8" x14ac:dyDescent="0.25">
      <c r="B55" s="19">
        <v>3</v>
      </c>
      <c r="C55" s="37">
        <f>C54+$D$50</f>
        <v>-6646.5299999999552</v>
      </c>
      <c r="D55" s="38">
        <f t="shared" si="11"/>
        <v>-2215.5099999999852</v>
      </c>
    </row>
    <row r="56" spans="1:8" x14ac:dyDescent="0.25">
      <c r="B56" s="19">
        <v>4</v>
      </c>
      <c r="C56" s="37">
        <f>C55+$D$50</f>
        <v>23612.320000000065</v>
      </c>
      <c r="D56" s="38">
        <f t="shared" si="11"/>
        <v>5903.0800000000163</v>
      </c>
    </row>
    <row r="57" spans="1:8" ht="15.75" thickBot="1" x14ac:dyDescent="0.3">
      <c r="B57" s="22">
        <v>5</v>
      </c>
      <c r="C57" s="39">
        <f>C56+$D$50</f>
        <v>53871.170000000086</v>
      </c>
      <c r="D57" s="40">
        <f t="shared" si="11"/>
        <v>10774.234000000017</v>
      </c>
    </row>
  </sheetData>
  <mergeCells count="3">
    <mergeCell ref="B1:C1"/>
    <mergeCell ref="B12:C12"/>
    <mergeCell ref="D12:E12"/>
  </mergeCells>
  <pageMargins left="0.70000000000000007" right="0.70000000000000007" top="0.75000000000000011" bottom="0.75000000000000011" header="0.30000000000000004" footer="0.30000000000000004"/>
  <pageSetup paperSize="9" scale="88" orientation="portrait" horizontalDpi="4294967292" verticalDpi="4294967292" r:id="rId1"/>
  <ignoredErrors>
    <ignoredError sqref="E2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1"/>
  <sheetViews>
    <sheetView topLeftCell="A25" workbookViewId="0">
      <selection activeCell="A73" sqref="A73"/>
    </sheetView>
  </sheetViews>
  <sheetFormatPr baseColWidth="10" defaultRowHeight="15" x14ac:dyDescent="0.25"/>
  <cols>
    <col min="2" max="2" width="20.5703125" customWidth="1"/>
    <col min="3" max="3" width="37.5703125" customWidth="1"/>
  </cols>
  <sheetData>
    <row r="2" spans="1:2" x14ac:dyDescent="0.25">
      <c r="B2" s="8" t="s">
        <v>53</v>
      </c>
    </row>
    <row r="3" spans="1:2" x14ac:dyDescent="0.25">
      <c r="B3" s="8" t="s">
        <v>54</v>
      </c>
    </row>
    <row r="4" spans="1:2" x14ac:dyDescent="0.25">
      <c r="A4" s="41">
        <v>7265</v>
      </c>
      <c r="B4" s="42" t="s">
        <v>55</v>
      </c>
    </row>
    <row r="5" spans="1:2" x14ac:dyDescent="0.25">
      <c r="A5" s="41"/>
      <c r="B5" s="43" t="s">
        <v>56</v>
      </c>
    </row>
    <row r="6" spans="1:2" x14ac:dyDescent="0.25">
      <c r="A6" s="6">
        <f>89+58</f>
        <v>147</v>
      </c>
      <c r="B6" t="s">
        <v>57</v>
      </c>
    </row>
    <row r="7" spans="1:2" x14ac:dyDescent="0.25">
      <c r="A7" s="6">
        <v>278</v>
      </c>
      <c r="B7" t="s">
        <v>58</v>
      </c>
    </row>
    <row r="8" spans="1:2" x14ac:dyDescent="0.25">
      <c r="A8" s="6">
        <v>1336</v>
      </c>
      <c r="B8" t="s">
        <v>59</v>
      </c>
    </row>
    <row r="9" spans="1:2" x14ac:dyDescent="0.25">
      <c r="A9" s="6">
        <v>3720</v>
      </c>
      <c r="B9" t="s">
        <v>60</v>
      </c>
    </row>
    <row r="10" spans="1:2" x14ac:dyDescent="0.25">
      <c r="A10" s="6">
        <f>520+600+900</f>
        <v>2020</v>
      </c>
      <c r="B10" t="s">
        <v>61</v>
      </c>
    </row>
    <row r="12" spans="1:2" x14ac:dyDescent="0.25">
      <c r="B12" s="8" t="s">
        <v>62</v>
      </c>
    </row>
    <row r="13" spans="1:2" x14ac:dyDescent="0.25">
      <c r="B13" s="8" t="s">
        <v>63</v>
      </c>
    </row>
    <row r="14" spans="1:2" x14ac:dyDescent="0.25">
      <c r="A14" s="5">
        <v>8055</v>
      </c>
      <c r="B14" t="s">
        <v>64</v>
      </c>
    </row>
    <row r="15" spans="1:2" x14ac:dyDescent="0.25">
      <c r="A15" s="5">
        <v>6444</v>
      </c>
      <c r="B15" t="s">
        <v>65</v>
      </c>
    </row>
    <row r="16" spans="1:2" x14ac:dyDescent="0.25">
      <c r="A16" s="6">
        <v>32220</v>
      </c>
      <c r="B16" t="s">
        <v>66</v>
      </c>
    </row>
    <row r="17" spans="1:2" x14ac:dyDescent="0.25">
      <c r="A17" s="6">
        <v>5200</v>
      </c>
      <c r="B17" t="s">
        <v>67</v>
      </c>
    </row>
    <row r="18" spans="1:2" x14ac:dyDescent="0.25">
      <c r="A18" s="6">
        <v>5223</v>
      </c>
      <c r="B18" t="s">
        <v>68</v>
      </c>
    </row>
    <row r="19" spans="1:2" x14ac:dyDescent="0.25">
      <c r="A19" s="6">
        <v>1824</v>
      </c>
      <c r="B19" t="s">
        <v>69</v>
      </c>
    </row>
    <row r="21" spans="1:2" x14ac:dyDescent="0.25">
      <c r="B21" s="8" t="s">
        <v>70</v>
      </c>
    </row>
    <row r="22" spans="1:2" x14ac:dyDescent="0.25">
      <c r="A22" s="6">
        <v>5000</v>
      </c>
      <c r="B22" t="s">
        <v>71</v>
      </c>
    </row>
    <row r="24" spans="1:2" x14ac:dyDescent="0.25">
      <c r="B24" s="8" t="s">
        <v>72</v>
      </c>
    </row>
    <row r="25" spans="1:2" x14ac:dyDescent="0.25">
      <c r="A25" s="5">
        <v>1900</v>
      </c>
      <c r="B25" t="s">
        <v>73</v>
      </c>
    </row>
    <row r="26" spans="1:2" x14ac:dyDescent="0.25">
      <c r="A26" s="44">
        <v>20000</v>
      </c>
      <c r="B26" t="s">
        <v>74</v>
      </c>
    </row>
    <row r="28" spans="1:2" x14ac:dyDescent="0.25">
      <c r="A28" s="5">
        <v>428</v>
      </c>
      <c r="B28" t="s">
        <v>75</v>
      </c>
    </row>
    <row r="29" spans="1:2" x14ac:dyDescent="0.25">
      <c r="A29" s="41">
        <f>SUM(A6:A28)</f>
        <v>93795</v>
      </c>
      <c r="B29" t="s">
        <v>76</v>
      </c>
    </row>
    <row r="30" spans="1:2" x14ac:dyDescent="0.25">
      <c r="B30" s="8" t="s">
        <v>77</v>
      </c>
    </row>
    <row r="31" spans="1:2" x14ac:dyDescent="0.25">
      <c r="A31" s="45">
        <v>250000</v>
      </c>
      <c r="B31" t="s">
        <v>78</v>
      </c>
    </row>
    <row r="32" spans="1:2" x14ac:dyDescent="0.25">
      <c r="A32" s="7">
        <v>40000</v>
      </c>
      <c r="B32" t="s">
        <v>79</v>
      </c>
    </row>
    <row r="33" spans="1:6" x14ac:dyDescent="0.25">
      <c r="A33" s="45">
        <v>20000</v>
      </c>
      <c r="B33" t="s">
        <v>80</v>
      </c>
    </row>
    <row r="34" spans="1:6" x14ac:dyDescent="0.25">
      <c r="A34" s="45">
        <v>60000</v>
      </c>
      <c r="B34" t="s">
        <v>81</v>
      </c>
    </row>
    <row r="35" spans="1:6" x14ac:dyDescent="0.25">
      <c r="A35" s="45">
        <v>20000</v>
      </c>
      <c r="B35" t="s">
        <v>82</v>
      </c>
    </row>
    <row r="36" spans="1:6" x14ac:dyDescent="0.25">
      <c r="A36" s="45">
        <v>10000</v>
      </c>
      <c r="B36" t="s">
        <v>83</v>
      </c>
    </row>
    <row r="37" spans="1:6" x14ac:dyDescent="0.25">
      <c r="A37" s="45">
        <v>10000</v>
      </c>
      <c r="B37" t="s">
        <v>84</v>
      </c>
    </row>
    <row r="38" spans="1:6" x14ac:dyDescent="0.25">
      <c r="A38" s="45">
        <v>5000</v>
      </c>
      <c r="B38" t="s">
        <v>85</v>
      </c>
    </row>
    <row r="39" spans="1:6" x14ac:dyDescent="0.25">
      <c r="A39" s="46">
        <f>SUM(A31:A38)</f>
        <v>415000</v>
      </c>
      <c r="B39" s="8" t="s">
        <v>86</v>
      </c>
    </row>
    <row r="41" spans="1:6" x14ac:dyDescent="0.25">
      <c r="A41" s="47">
        <f>A29-14499</f>
        <v>79296</v>
      </c>
      <c r="B41" t="s">
        <v>87</v>
      </c>
      <c r="C41" s="41">
        <f>8055+6444</f>
        <v>14499</v>
      </c>
      <c r="D41" t="s">
        <v>88</v>
      </c>
    </row>
    <row r="43" spans="1:6" x14ac:dyDescent="0.25">
      <c r="B43" s="8" t="s">
        <v>89</v>
      </c>
      <c r="C43" s="8"/>
      <c r="D43" s="8"/>
      <c r="E43" s="8"/>
      <c r="F43" s="8"/>
    </row>
    <row r="44" spans="1:6" x14ac:dyDescent="0.25">
      <c r="B44" s="8" t="s">
        <v>90</v>
      </c>
      <c r="C44" s="8"/>
      <c r="D44" s="8"/>
      <c r="E44" s="8"/>
      <c r="F44" s="8"/>
    </row>
    <row r="45" spans="1:6" x14ac:dyDescent="0.25">
      <c r="B45" s="8" t="s">
        <v>91</v>
      </c>
      <c r="C45" s="8"/>
      <c r="D45" s="8"/>
      <c r="E45" s="8"/>
      <c r="F45" s="8"/>
    </row>
    <row r="46" spans="1:6" x14ac:dyDescent="0.25">
      <c r="B46" s="8" t="s">
        <v>92</v>
      </c>
    </row>
    <row r="48" spans="1:6" x14ac:dyDescent="0.25">
      <c r="A48" s="61">
        <v>80000</v>
      </c>
      <c r="B48" s="8" t="s">
        <v>122</v>
      </c>
    </row>
    <row r="50" spans="1:2" x14ac:dyDescent="0.25">
      <c r="A50" s="1"/>
      <c r="B50" s="8" t="s">
        <v>93</v>
      </c>
    </row>
    <row r="52" spans="1:2" x14ac:dyDescent="0.25">
      <c r="B52" s="8" t="s">
        <v>94</v>
      </c>
    </row>
    <row r="53" spans="1:2" x14ac:dyDescent="0.25">
      <c r="B53" s="48" t="s">
        <v>95</v>
      </c>
    </row>
    <row r="54" spans="1:2" x14ac:dyDescent="0.25">
      <c r="B54" s="49" t="s">
        <v>96</v>
      </c>
    </row>
    <row r="55" spans="1:2" x14ac:dyDescent="0.25">
      <c r="B55" s="49" t="s">
        <v>97</v>
      </c>
    </row>
    <row r="56" spans="1:2" x14ac:dyDescent="0.25">
      <c r="B56" s="49" t="s">
        <v>98</v>
      </c>
    </row>
    <row r="57" spans="1:2" x14ac:dyDescent="0.25">
      <c r="B57" s="49" t="s">
        <v>99</v>
      </c>
    </row>
    <row r="58" spans="1:2" x14ac:dyDescent="0.25">
      <c r="B58" s="49" t="s">
        <v>100</v>
      </c>
    </row>
    <row r="59" spans="1:2" x14ac:dyDescent="0.25">
      <c r="B59" s="49" t="s">
        <v>101</v>
      </c>
    </row>
    <row r="61" spans="1:2" x14ac:dyDescent="0.25">
      <c r="B61" s="48" t="s">
        <v>102</v>
      </c>
    </row>
    <row r="62" spans="1:2" x14ac:dyDescent="0.25">
      <c r="B62" s="50" t="s">
        <v>103</v>
      </c>
    </row>
    <row r="63" spans="1:2" x14ac:dyDescent="0.25">
      <c r="B63" s="50" t="s">
        <v>104</v>
      </c>
    </row>
    <row r="64" spans="1:2" x14ac:dyDescent="0.25">
      <c r="B64" s="50" t="s">
        <v>105</v>
      </c>
    </row>
    <row r="65" spans="1:5" ht="21.75" customHeight="1" x14ac:dyDescent="0.25">
      <c r="A65" s="51"/>
      <c r="B65" s="52" t="s">
        <v>106</v>
      </c>
      <c r="C65" s="53" t="s">
        <v>107</v>
      </c>
    </row>
    <row r="66" spans="1:5" ht="18.75" customHeight="1" x14ac:dyDescent="0.25">
      <c r="A66" s="51"/>
      <c r="B66" s="54" t="s">
        <v>108</v>
      </c>
      <c r="C66" s="55" t="s">
        <v>109</v>
      </c>
      <c r="E66" s="56" t="s">
        <v>110</v>
      </c>
    </row>
    <row r="67" spans="1:5" ht="16.5" customHeight="1" x14ac:dyDescent="0.25">
      <c r="A67" s="51"/>
      <c r="B67" s="57" t="s">
        <v>111</v>
      </c>
      <c r="C67" s="58" t="s">
        <v>112</v>
      </c>
    </row>
    <row r="68" spans="1:5" ht="15.75" customHeight="1" x14ac:dyDescent="0.25">
      <c r="A68" s="51"/>
      <c r="B68" s="54" t="s">
        <v>113</v>
      </c>
      <c r="C68" s="55" t="s">
        <v>114</v>
      </c>
    </row>
    <row r="69" spans="1:5" ht="18.75" customHeight="1" x14ac:dyDescent="0.25">
      <c r="A69" s="51"/>
      <c r="B69" s="57" t="s">
        <v>115</v>
      </c>
      <c r="C69" s="58" t="s">
        <v>116</v>
      </c>
    </row>
    <row r="70" spans="1:5" ht="17.25" customHeight="1" x14ac:dyDescent="0.25">
      <c r="A70" s="51"/>
      <c r="B70" s="54" t="s">
        <v>117</v>
      </c>
      <c r="C70" s="55" t="s">
        <v>118</v>
      </c>
    </row>
    <row r="71" spans="1:5" ht="18" customHeight="1" x14ac:dyDescent="0.25">
      <c r="A71" s="51"/>
      <c r="B71" s="59" t="s">
        <v>119</v>
      </c>
      <c r="C71" s="60" t="s">
        <v>120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topLeftCell="A85" workbookViewId="0">
      <selection activeCell="N34" sqref="N34"/>
    </sheetView>
  </sheetViews>
  <sheetFormatPr baseColWidth="10" defaultColWidth="8.28515625" defaultRowHeight="15" x14ac:dyDescent="0.25"/>
  <cols>
    <col min="1" max="1" width="21.28515625" customWidth="1"/>
    <col min="3" max="6" width="11" customWidth="1"/>
    <col min="7" max="7" width="11.7109375" customWidth="1"/>
    <col min="10" max="10" width="20.7109375" customWidth="1"/>
    <col min="11" max="11" width="18.42578125" customWidth="1"/>
    <col min="12" max="12" width="12.85546875" customWidth="1"/>
    <col min="14" max="14" width="10.42578125" customWidth="1"/>
    <col min="16" max="16" width="7" customWidth="1"/>
    <col min="17" max="17" width="13.7109375" customWidth="1"/>
    <col min="19" max="19" width="9.28515625" customWidth="1"/>
    <col min="21" max="21" width="12.28515625" customWidth="1"/>
    <col min="23" max="23" width="10.42578125" customWidth="1"/>
    <col min="25" max="25" width="12.85546875" customWidth="1"/>
    <col min="27" max="27" width="13.42578125" customWidth="1"/>
    <col min="29" max="29" width="12.5703125" customWidth="1"/>
    <col min="31" max="31" width="10.5703125" customWidth="1"/>
  </cols>
  <sheetData>
    <row r="1" spans="1:1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1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" x14ac:dyDescent="0.25">
      <c r="A4" t="s">
        <v>175</v>
      </c>
    </row>
    <row r="20" spans="1:31" x14ac:dyDescent="0.25">
      <c r="A20" s="8" t="s">
        <v>176</v>
      </c>
    </row>
    <row r="21" spans="1:31" x14ac:dyDescent="0.25">
      <c r="A21" s="220" t="s">
        <v>181</v>
      </c>
      <c r="B21" s="2"/>
      <c r="C21" s="131" t="s">
        <v>190</v>
      </c>
      <c r="D21" s="119" t="s">
        <v>191</v>
      </c>
      <c r="E21" s="118" t="s">
        <v>192</v>
      </c>
      <c r="F21" s="117" t="s">
        <v>193</v>
      </c>
      <c r="G21" s="116" t="s">
        <v>194</v>
      </c>
    </row>
    <row r="22" spans="1:31" x14ac:dyDescent="0.25">
      <c r="A22" s="221"/>
      <c r="B22" s="2"/>
      <c r="C22" s="11" t="s">
        <v>9</v>
      </c>
      <c r="D22" s="10"/>
      <c r="E22" s="10"/>
      <c r="F22" s="10"/>
      <c r="G22" s="10"/>
    </row>
    <row r="23" spans="1:31" x14ac:dyDescent="0.25">
      <c r="A23" s="9" t="s">
        <v>189</v>
      </c>
      <c r="B23" s="3">
        <v>0.85</v>
      </c>
      <c r="C23" s="92">
        <f>+'BP Sophrokhepri'!D6</f>
        <v>8.1999999999999993</v>
      </c>
      <c r="D23" s="92">
        <f>+'BP Sophrokhepri'!E6</f>
        <v>45</v>
      </c>
      <c r="E23" s="92">
        <f>+'BP Sophrokhepri'!F6</f>
        <v>57.02</v>
      </c>
      <c r="F23" s="92">
        <f>+'BP Sophrokhepri'!G6</f>
        <v>152.06</v>
      </c>
      <c r="G23" s="92">
        <f>+'BP Sophrokhepri'!H6</f>
        <v>152.06</v>
      </c>
    </row>
    <row r="24" spans="1:31" x14ac:dyDescent="0.25">
      <c r="A24" s="9" t="s">
        <v>4</v>
      </c>
      <c r="B24" s="3">
        <v>0.15</v>
      </c>
      <c r="C24" s="92">
        <f>+'BP Sophrokhepri'!D8</f>
        <v>0</v>
      </c>
      <c r="D24" s="92">
        <f>+'BP Sophrokhepri'!E8</f>
        <v>12.97</v>
      </c>
      <c r="E24" s="92">
        <f>+'BP Sophrokhepri'!F8</f>
        <v>71.260000000000005</v>
      </c>
      <c r="F24" s="92">
        <f>+'BP Sophrokhepri'!G8</f>
        <v>101.8</v>
      </c>
      <c r="G24" s="92">
        <f>+'BP Sophrokhepri'!H8</f>
        <v>192.59</v>
      </c>
      <c r="J24" s="172" t="s">
        <v>195</v>
      </c>
      <c r="K24" s="172"/>
      <c r="L24" s="206" t="s">
        <v>190</v>
      </c>
      <c r="M24" s="207"/>
      <c r="N24" s="208"/>
      <c r="Q24" s="191" t="s">
        <v>213</v>
      </c>
      <c r="R24" s="196"/>
      <c r="S24" s="197"/>
      <c r="U24" s="188" t="s">
        <v>217</v>
      </c>
      <c r="V24" s="194"/>
      <c r="W24" s="195"/>
      <c r="Y24" s="182" t="s">
        <v>221</v>
      </c>
      <c r="Z24" s="186"/>
      <c r="AA24" s="187"/>
      <c r="AC24" s="178" t="s">
        <v>225</v>
      </c>
      <c r="AD24" s="217"/>
      <c r="AE24" s="218"/>
    </row>
    <row r="25" spans="1:31" x14ac:dyDescent="0.25">
      <c r="A25" s="9" t="s">
        <v>188</v>
      </c>
      <c r="B25" s="3">
        <v>0.05</v>
      </c>
      <c r="C25" s="92">
        <f>+'BP Sophrokhepri'!D10</f>
        <v>5.2</v>
      </c>
      <c r="D25" s="92">
        <f>+'BP Sophrokhepri'!E10</f>
        <v>18</v>
      </c>
      <c r="E25" s="92">
        <f>+'BP Sophrokhepri'!F10</f>
        <v>22.299999999999997</v>
      </c>
      <c r="F25" s="92">
        <f>+'BP Sophrokhepri'!G10</f>
        <v>22.299999999999997</v>
      </c>
      <c r="G25" s="92">
        <f>+'BP Sophrokhepri'!H10</f>
        <v>22.299999999999997</v>
      </c>
      <c r="J25" s="100" t="s">
        <v>5</v>
      </c>
      <c r="K25" s="100" t="s">
        <v>2</v>
      </c>
      <c r="L25" s="100" t="s">
        <v>212</v>
      </c>
      <c r="M25" s="100" t="s">
        <v>211</v>
      </c>
      <c r="N25" s="100" t="s">
        <v>200</v>
      </c>
      <c r="Q25" s="106" t="s">
        <v>199</v>
      </c>
      <c r="R25" s="106" t="s">
        <v>211</v>
      </c>
      <c r="S25" s="106" t="s">
        <v>200</v>
      </c>
      <c r="U25" s="110" t="s">
        <v>199</v>
      </c>
      <c r="V25" s="110" t="s">
        <v>211</v>
      </c>
      <c r="W25" s="110" t="s">
        <v>200</v>
      </c>
      <c r="Y25" s="112" t="s">
        <v>199</v>
      </c>
      <c r="Z25" s="112" t="s">
        <v>211</v>
      </c>
      <c r="AA25" s="112" t="s">
        <v>200</v>
      </c>
      <c r="AC25" s="114" t="s">
        <v>199</v>
      </c>
      <c r="AD25" s="114" t="s">
        <v>211</v>
      </c>
      <c r="AE25" s="114" t="s">
        <v>200</v>
      </c>
    </row>
    <row r="26" spans="1:31" x14ac:dyDescent="0.25">
      <c r="A26" s="9" t="s">
        <v>187</v>
      </c>
      <c r="B26" s="2"/>
      <c r="C26" s="92">
        <f>+'BP Sophrokhepri'!D12</f>
        <v>7.5</v>
      </c>
      <c r="D26" s="92">
        <f>+'BP Sophrokhepri'!E12</f>
        <v>10.4</v>
      </c>
      <c r="E26" s="92">
        <f>+'BP Sophrokhepri'!F12</f>
        <v>41.58</v>
      </c>
      <c r="F26" s="92">
        <f>+'BP Sophrokhepri'!G12</f>
        <v>41.58</v>
      </c>
      <c r="G26" s="92">
        <f>+'BP Sophrokhepri'!H12</f>
        <v>41.58</v>
      </c>
      <c r="J26" s="96">
        <f>+'BP Sophrokhepri'!M6</f>
        <v>2</v>
      </c>
      <c r="K26" s="96">
        <f>+'BP Sophrokhepri'!N6</f>
        <v>240</v>
      </c>
      <c r="L26" s="96">
        <f>+'BP Sophrokhepri'!O6</f>
        <v>2880</v>
      </c>
      <c r="M26" s="102">
        <f>+'BP Sophrokhepri'!P6</f>
        <v>1</v>
      </c>
      <c r="N26" s="123">
        <f>+'BP Sophrokhepri'!Q6</f>
        <v>2880</v>
      </c>
      <c r="Q26" s="89">
        <f>+'BP Sophrokhepri'!Y6</f>
        <v>1344</v>
      </c>
      <c r="R26" s="92">
        <f>+'BP Sophrokhepri'!Z6</f>
        <v>0.83333333333333337</v>
      </c>
      <c r="S26" s="107">
        <f>+'BP Sophrokhepri'!AA6</f>
        <v>10590</v>
      </c>
      <c r="U26" s="89" t="str">
        <f>+'BP Sophrokhepri'!AI6</f>
        <v>nbre h/An</v>
      </c>
      <c r="V26" s="92" t="str">
        <f>+'BP Sophrokhepri'!AJ6</f>
        <v>taux réel</v>
      </c>
      <c r="W26" s="92" t="str">
        <f>+'BP Sophrokhepri'!AK6</f>
        <v>vendu</v>
      </c>
      <c r="Y26" s="89" t="str">
        <f>+'BP Sophrokhepri'!AY6</f>
        <v>nbre h/An</v>
      </c>
      <c r="Z26" s="97" t="str">
        <f>+'BP Sophrokhepri'!AZ6</f>
        <v>taux réel</v>
      </c>
      <c r="AA26" s="89" t="str">
        <f>+'BP Sophrokhepri'!BA6</f>
        <v>vendu</v>
      </c>
      <c r="AC26" s="89" t="str">
        <f>+'BP Sophrokhepri'!BI6</f>
        <v>nbre h/An</v>
      </c>
      <c r="AD26" s="97" t="str">
        <f>+'BP Sophrokhepri'!BJ6</f>
        <v>taux réel</v>
      </c>
      <c r="AE26" s="89" t="str">
        <f>+'BP Sophrokhepri'!BK6</f>
        <v>vendu</v>
      </c>
    </row>
    <row r="27" spans="1:31" x14ac:dyDescent="0.25">
      <c r="A27" s="13" t="s">
        <v>0</v>
      </c>
      <c r="B27" s="10"/>
      <c r="C27" s="92">
        <f>+'BP Sophrokhepri'!D13</f>
        <v>20.9</v>
      </c>
      <c r="D27" s="92">
        <f>+'BP Sophrokhepri'!E13</f>
        <v>86.37</v>
      </c>
      <c r="E27" s="92">
        <f>+'BP Sophrokhepri'!F13</f>
        <v>291.3</v>
      </c>
      <c r="F27" s="92">
        <f>+'BP Sophrokhepri'!G13</f>
        <v>468.32</v>
      </c>
      <c r="G27" s="92">
        <f>+'BP Sophrokhepri'!H13</f>
        <v>684.68999999999994</v>
      </c>
    </row>
    <row r="28" spans="1:31" x14ac:dyDescent="0.25">
      <c r="A28" s="62" t="s">
        <v>10</v>
      </c>
      <c r="B28" s="3">
        <v>0.2</v>
      </c>
      <c r="C28" s="92">
        <f>+'BP Sophrokhepri'!D14</f>
        <v>52.936904761904756</v>
      </c>
      <c r="D28" s="92">
        <f>+'BP Sophrokhepri'!E14</f>
        <v>52.936904761904756</v>
      </c>
      <c r="E28" s="92">
        <f>+'BP Sophrokhepri'!F14</f>
        <v>84.699047619047604</v>
      </c>
      <c r="F28" s="92">
        <f>+'BP Sophrokhepri'!G14</f>
        <v>84.699047619047604</v>
      </c>
      <c r="G28" s="92">
        <f>+'BP Sophrokhepri'!H14</f>
        <v>84.699047619047604</v>
      </c>
      <c r="J28" s="172" t="s">
        <v>204</v>
      </c>
      <c r="K28" s="172"/>
      <c r="L28" s="172"/>
      <c r="M28" s="172" t="s">
        <v>190</v>
      </c>
      <c r="N28" s="172"/>
      <c r="Q28" s="219" t="s">
        <v>214</v>
      </c>
      <c r="R28" s="219"/>
      <c r="S28" s="219"/>
      <c r="U28" s="216" t="s">
        <v>218</v>
      </c>
      <c r="V28" s="216"/>
      <c r="W28" s="216"/>
      <c r="Y28" s="185" t="s">
        <v>222</v>
      </c>
      <c r="Z28" s="185"/>
      <c r="AA28" s="185"/>
      <c r="AC28" s="181" t="s">
        <v>226</v>
      </c>
      <c r="AD28" s="181"/>
      <c r="AE28" s="181"/>
    </row>
    <row r="29" spans="1:31" x14ac:dyDescent="0.25">
      <c r="A29" s="62" t="s">
        <v>131</v>
      </c>
      <c r="B29" s="3">
        <v>0.02</v>
      </c>
      <c r="C29" s="92">
        <f>+'BP Sophrokhepri'!D15</f>
        <v>11.14</v>
      </c>
      <c r="D29" s="92">
        <f>+'BP Sophrokhepri'!E15</f>
        <v>11.3628</v>
      </c>
      <c r="E29" s="92">
        <f>+'BP Sophrokhepri'!F15</f>
        <v>11.590056000000001</v>
      </c>
      <c r="F29" s="92">
        <f>+'BP Sophrokhepri'!G15</f>
        <v>11.821857120000001</v>
      </c>
      <c r="G29" s="92">
        <f>+'BP Sophrokhepri'!H15</f>
        <v>12.0582942624</v>
      </c>
      <c r="J29" s="100" t="s">
        <v>208</v>
      </c>
      <c r="K29" s="100" t="s">
        <v>205</v>
      </c>
      <c r="L29" s="100" t="s">
        <v>3</v>
      </c>
      <c r="M29" s="100" t="s">
        <v>209</v>
      </c>
      <c r="N29" s="100" t="s">
        <v>210</v>
      </c>
      <c r="O29" s="4" t="s">
        <v>200</v>
      </c>
      <c r="Q29" s="106" t="s">
        <v>209</v>
      </c>
      <c r="R29" s="106" t="s">
        <v>210</v>
      </c>
      <c r="S29" s="109" t="s">
        <v>200</v>
      </c>
      <c r="U29" s="110" t="s">
        <v>209</v>
      </c>
      <c r="V29" s="110" t="s">
        <v>210</v>
      </c>
      <c r="W29" s="111" t="s">
        <v>200</v>
      </c>
      <c r="Y29" s="112" t="s">
        <v>209</v>
      </c>
      <c r="Z29" s="112" t="s">
        <v>210</v>
      </c>
      <c r="AA29" s="113" t="s">
        <v>200</v>
      </c>
      <c r="AC29" s="114" t="s">
        <v>209</v>
      </c>
      <c r="AD29" s="114" t="s">
        <v>210</v>
      </c>
      <c r="AE29" s="115" t="s">
        <v>200</v>
      </c>
    </row>
    <row r="30" spans="1:31" x14ac:dyDescent="0.25">
      <c r="A30" s="62" t="s">
        <v>132</v>
      </c>
      <c r="B30" s="2"/>
      <c r="C30" s="92">
        <f>+'BP Sophrokhepri'!D17</f>
        <v>3</v>
      </c>
      <c r="D30" s="92">
        <f>+'BP Sophrokhepri'!E17</f>
        <v>3</v>
      </c>
      <c r="E30" s="92">
        <f>+'BP Sophrokhepri'!F17</f>
        <v>3</v>
      </c>
      <c r="F30" s="92">
        <f>+'BP Sophrokhepri'!G17</f>
        <v>3</v>
      </c>
      <c r="G30" s="92">
        <f>+'BP Sophrokhepri'!H17</f>
        <v>3</v>
      </c>
      <c r="J30" s="101">
        <f>+'BP Sophrokhepri'!N48</f>
        <v>15</v>
      </c>
      <c r="K30" s="101">
        <f>+'BP Sophrokhepri'!O48</f>
        <v>495</v>
      </c>
      <c r="L30" s="101">
        <f>+'BP Sophrokhepri'!P48</f>
        <v>70</v>
      </c>
      <c r="M30" s="101">
        <f>+'BP Sophrokhepri'!Q48</f>
        <v>34650</v>
      </c>
      <c r="N30" s="102">
        <f>0.001</f>
        <v>1E-3</v>
      </c>
      <c r="O30" s="101">
        <f>+M30*N30</f>
        <v>34.65</v>
      </c>
      <c r="Q30" s="98">
        <f>+'BP Sophrokhepri'!Y16</f>
        <v>34650</v>
      </c>
      <c r="R30" s="97">
        <f>+'BP Sophrokhepri'!Z16</f>
        <v>0.30014430014430016</v>
      </c>
      <c r="S30" s="98">
        <f>+'BP Sophrokhepri'!AA16</f>
        <v>10400</v>
      </c>
      <c r="U30" s="98" t="str">
        <f>+'BP Sophrokhepri'!AI10</f>
        <v>nbre h/An</v>
      </c>
      <c r="V30" s="97" t="str">
        <f>+'BP Sophrokhepri'!AJ10</f>
        <v>taux réel</v>
      </c>
      <c r="W30" s="98" t="str">
        <f>+'BP Sophrokhepri'!AK10</f>
        <v>vendu</v>
      </c>
      <c r="Y30" s="98" t="str">
        <f>+'BP Sophrokhepri'!AY10</f>
        <v>nbre h/An</v>
      </c>
      <c r="Z30" s="97" t="str">
        <f>+'BP Sophrokhepri'!AZ10</f>
        <v>taux réel</v>
      </c>
      <c r="AA30" s="98" t="str">
        <f>+'BP Sophrokhepri'!BA10</f>
        <v>vendu</v>
      </c>
      <c r="AC30" s="98" t="str">
        <f>+'BP Sophrokhepri'!BI10</f>
        <v>nbre h/An</v>
      </c>
      <c r="AD30" s="97" t="str">
        <f>+'BP Sophrokhepri'!BJ10</f>
        <v>taux réel</v>
      </c>
      <c r="AE30" s="98" t="str">
        <f>+'BP Sophrokhepri'!BK10</f>
        <v>vendu</v>
      </c>
    </row>
    <row r="31" spans="1:31" x14ac:dyDescent="0.25">
      <c r="A31" s="62" t="s">
        <v>186</v>
      </c>
      <c r="B31" s="3">
        <v>0.45</v>
      </c>
      <c r="C31" s="92">
        <f>+'BP Sophrokhepri'!D18</f>
        <v>13.1</v>
      </c>
      <c r="D31" s="92">
        <f>+'BP Sophrokhepri'!E18</f>
        <v>40</v>
      </c>
      <c r="E31" s="92">
        <f>+'BP Sophrokhepri'!F18</f>
        <v>58</v>
      </c>
      <c r="F31" s="92">
        <f>+'BP Sophrokhepri'!G18</f>
        <v>84.1</v>
      </c>
      <c r="G31" s="92">
        <f>+'BP Sophrokhepri'!H18</f>
        <v>121.94499999999999</v>
      </c>
    </row>
    <row r="32" spans="1:31" x14ac:dyDescent="0.25">
      <c r="A32" s="62" t="s">
        <v>121</v>
      </c>
      <c r="B32" s="3">
        <v>0.02</v>
      </c>
      <c r="C32" s="92">
        <f>+'BP Sophrokhepri'!D20</f>
        <v>11</v>
      </c>
      <c r="D32" s="92">
        <f>+'BP Sophrokhepri'!E20</f>
        <v>11.22</v>
      </c>
      <c r="E32" s="92">
        <f>+'BP Sophrokhepri'!F20</f>
        <v>5.8344000000000005</v>
      </c>
      <c r="F32" s="92">
        <f>+'BP Sophrokhepri'!G20</f>
        <v>3.0338880000000001</v>
      </c>
      <c r="G32" s="92">
        <f>+'BP Sophrokhepri'!H20</f>
        <v>1.5776217600000002</v>
      </c>
      <c r="J32" s="172" t="s">
        <v>203</v>
      </c>
      <c r="K32" s="172"/>
      <c r="L32" s="172"/>
      <c r="M32" s="172" t="s">
        <v>190</v>
      </c>
      <c r="N32" s="172"/>
      <c r="Q32" s="191" t="s">
        <v>215</v>
      </c>
      <c r="R32" s="196"/>
      <c r="S32" s="197"/>
      <c r="U32" s="216" t="s">
        <v>219</v>
      </c>
      <c r="V32" s="216"/>
      <c r="W32" s="216"/>
      <c r="Y32" s="185" t="s">
        <v>223</v>
      </c>
      <c r="Z32" s="185"/>
      <c r="AA32" s="185"/>
      <c r="AC32" s="181" t="s">
        <v>227</v>
      </c>
      <c r="AD32" s="181"/>
      <c r="AE32" s="181"/>
    </row>
    <row r="33" spans="1:31" x14ac:dyDescent="0.25">
      <c r="A33" s="62" t="s">
        <v>70</v>
      </c>
      <c r="B33" s="3">
        <v>0.02</v>
      </c>
      <c r="C33" s="92">
        <f>+'BP Sophrokhepri'!D21</f>
        <v>13</v>
      </c>
      <c r="D33" s="92">
        <f>+'BP Sophrokhepri'!E21</f>
        <v>5.8</v>
      </c>
      <c r="E33" s="92">
        <f>+'BP Sophrokhepri'!F21</f>
        <v>17.515999999999998</v>
      </c>
      <c r="F33" s="92">
        <f>+'BP Sophrokhepri'!G21</f>
        <v>17.866319999999998</v>
      </c>
      <c r="G33" s="92">
        <f>+'BP Sophrokhepri'!H21</f>
        <v>18.2236464</v>
      </c>
      <c r="J33" s="206" t="s">
        <v>201</v>
      </c>
      <c r="K33" s="208"/>
      <c r="L33" s="100" t="s">
        <v>202</v>
      </c>
      <c r="M33" s="100" t="s">
        <v>211</v>
      </c>
      <c r="N33" s="100" t="s">
        <v>207</v>
      </c>
      <c r="Q33" s="106" t="s">
        <v>202</v>
      </c>
      <c r="R33" s="106" t="s">
        <v>211</v>
      </c>
      <c r="S33" s="106" t="s">
        <v>207</v>
      </c>
      <c r="U33" s="110" t="s">
        <v>202</v>
      </c>
      <c r="V33" s="110" t="s">
        <v>211</v>
      </c>
      <c r="W33" s="110" t="s">
        <v>207</v>
      </c>
      <c r="Y33" s="112" t="s">
        <v>202</v>
      </c>
      <c r="Z33" s="112" t="s">
        <v>211</v>
      </c>
      <c r="AA33" s="112" t="s">
        <v>207</v>
      </c>
      <c r="AC33" s="114" t="s">
        <v>202</v>
      </c>
      <c r="AD33" s="114" t="s">
        <v>211</v>
      </c>
      <c r="AE33" s="114" t="s">
        <v>207</v>
      </c>
    </row>
    <row r="34" spans="1:31" x14ac:dyDescent="0.25">
      <c r="A34" s="62" t="s">
        <v>123</v>
      </c>
      <c r="B34" s="3">
        <v>0.02</v>
      </c>
      <c r="C34" s="92">
        <f>+'BP Sophrokhepri'!D22</f>
        <v>1.1000000000000001</v>
      </c>
      <c r="D34" s="92">
        <f>+'BP Sophrokhepri'!E22</f>
        <v>1.2</v>
      </c>
      <c r="E34" s="92">
        <f>+'BP Sophrokhepri'!F22</f>
        <v>0</v>
      </c>
      <c r="F34" s="92">
        <f>+'BP Sophrokhepri'!G22</f>
        <v>0</v>
      </c>
      <c r="G34" s="92">
        <f>+'BP Sophrokhepri'!H22</f>
        <v>0</v>
      </c>
      <c r="J34" s="209">
        <v>170</v>
      </c>
      <c r="K34" s="210"/>
      <c r="L34" s="104">
        <f>+(J34*49.9)*12</f>
        <v>101796</v>
      </c>
      <c r="M34" s="103">
        <v>0</v>
      </c>
      <c r="N34" s="95">
        <f>+M34*L34</f>
        <v>0</v>
      </c>
      <c r="Q34" s="104">
        <f>+'BP Sophrokhepri'!Y22</f>
        <v>84830</v>
      </c>
      <c r="R34" s="102">
        <f>+'BP Sophrokhepri'!Z22</f>
        <v>0.14980549333962043</v>
      </c>
      <c r="S34" s="104">
        <f>+'BP Sophrokhepri'!AA22</f>
        <v>12708</v>
      </c>
      <c r="U34" s="104">
        <f>+'BP Sophrokhepri'!AI25</f>
        <v>0</v>
      </c>
      <c r="V34" s="102">
        <f>+'BP Sophrokhepri'!AJ25</f>
        <v>0</v>
      </c>
      <c r="W34" s="104">
        <f>+'BP Sophrokhepri'!AK25</f>
        <v>0</v>
      </c>
      <c r="Y34" s="104" t="str">
        <f>+'BP Sophrokhepri'!AY14</f>
        <v>2019/2020 EVELYNE</v>
      </c>
      <c r="Z34" s="102">
        <f>+'BP Sophrokhepri'!AZ14</f>
        <v>0</v>
      </c>
      <c r="AA34" s="104">
        <f>+'BP Sophrokhepri'!BA14</f>
        <v>0</v>
      </c>
      <c r="AC34" s="104" t="str">
        <f>+'BP Sophrokhepri'!BI14</f>
        <v>2020/2021 EVELYNE</v>
      </c>
      <c r="AD34" s="102">
        <f>+'BP Sophrokhepri'!BJ14</f>
        <v>0</v>
      </c>
      <c r="AE34" s="104">
        <f>+'BP Sophrokhepri'!BK14</f>
        <v>0</v>
      </c>
    </row>
    <row r="35" spans="1:31" x14ac:dyDescent="0.25">
      <c r="A35" s="62" t="s">
        <v>166</v>
      </c>
      <c r="B35" s="3">
        <v>1.2E-2</v>
      </c>
      <c r="C35" s="92">
        <f>+'BP Sophrokhepri'!D23</f>
        <v>0</v>
      </c>
      <c r="D35" s="92">
        <f>+'BP Sophrokhepri'!E23</f>
        <v>0</v>
      </c>
      <c r="E35" s="92">
        <f>+'BP Sophrokhepri'!F23</f>
        <v>10.120000000000001</v>
      </c>
      <c r="F35" s="92">
        <f>+'BP Sophrokhepri'!G23</f>
        <v>10.241440000000001</v>
      </c>
      <c r="G35" s="92">
        <f>+'BP Sophrokhepri'!H23</f>
        <v>10.364337280000001</v>
      </c>
    </row>
    <row r="36" spans="1:31" x14ac:dyDescent="0.25">
      <c r="A36" s="62" t="s">
        <v>167</v>
      </c>
      <c r="B36" s="3">
        <v>0.02</v>
      </c>
      <c r="C36" s="92">
        <f>+'BP Sophrokhepri'!D24</f>
        <v>2E-3</v>
      </c>
      <c r="D36" s="92">
        <f>+'BP Sophrokhepri'!E24</f>
        <v>2.0400000000000001E-3</v>
      </c>
      <c r="E36" s="92">
        <f>+'BP Sophrokhepri'!F24</f>
        <v>2.0808000000000003E-3</v>
      </c>
      <c r="F36" s="92">
        <f>+'BP Sophrokhepri'!G24</f>
        <v>2.1224160000000002E-3</v>
      </c>
      <c r="G36" s="92">
        <f>+'BP Sophrokhepri'!H24</f>
        <v>2.1648643200000003E-3</v>
      </c>
      <c r="J36" s="172" t="s">
        <v>6</v>
      </c>
      <c r="K36" s="172"/>
      <c r="L36" s="172"/>
    </row>
    <row r="37" spans="1:31" x14ac:dyDescent="0.25">
      <c r="A37" s="62" t="s">
        <v>130</v>
      </c>
      <c r="B37" s="3">
        <v>0.02</v>
      </c>
      <c r="C37" s="92">
        <f>+'BP Sophrokhepri'!D25</f>
        <v>0</v>
      </c>
      <c r="D37" s="92">
        <f>+'BP Sophrokhepri'!E25</f>
        <v>0.2</v>
      </c>
      <c r="E37" s="92">
        <f>+'BP Sophrokhepri'!F25</f>
        <v>3.06</v>
      </c>
      <c r="F37" s="92">
        <f>+'BP Sophrokhepri'!G25</f>
        <v>3.1212</v>
      </c>
      <c r="G37" s="92">
        <f>+'BP Sophrokhepri'!H25</f>
        <v>3.183624</v>
      </c>
      <c r="J37" s="100" t="s">
        <v>1</v>
      </c>
      <c r="K37" s="100" t="s">
        <v>7</v>
      </c>
      <c r="L37" s="100" t="s">
        <v>8</v>
      </c>
    </row>
    <row r="38" spans="1:31" x14ac:dyDescent="0.25">
      <c r="A38" s="62" t="s">
        <v>124</v>
      </c>
      <c r="B38" s="3">
        <v>0.02</v>
      </c>
      <c r="C38" s="92">
        <f>+'BP Sophrokhepri'!D26</f>
        <v>0.03</v>
      </c>
      <c r="D38" s="92">
        <f>+'BP Sophrokhepri'!E26</f>
        <v>3.0599999999999999E-2</v>
      </c>
      <c r="E38" s="92">
        <f>+'BP Sophrokhepri'!F26</f>
        <v>3.1212E-2</v>
      </c>
      <c r="F38" s="92">
        <f>+'BP Sophrokhepri'!G26</f>
        <v>3.1836240000000002E-2</v>
      </c>
      <c r="G38" s="92">
        <f>+'BP Sophrokhepri'!H26</f>
        <v>3.2472964800000004E-2</v>
      </c>
      <c r="J38" s="103">
        <v>0.05</v>
      </c>
      <c r="K38" s="96">
        <v>400000</v>
      </c>
      <c r="L38" s="89">
        <f>K38*J38</f>
        <v>20000</v>
      </c>
    </row>
    <row r="39" spans="1:31" x14ac:dyDescent="0.25">
      <c r="A39" s="62" t="s">
        <v>164</v>
      </c>
      <c r="B39" s="4">
        <v>5</v>
      </c>
      <c r="C39" s="92">
        <f>+'BP Sophrokhepri'!D27</f>
        <v>0.9</v>
      </c>
      <c r="D39" s="92">
        <f>+'BP Sophrokhepri'!E27</f>
        <v>-0.55999999999999994</v>
      </c>
      <c r="E39" s="92">
        <f>+'BP Sophrokhepri'!F27</f>
        <v>-0.44799999999999995</v>
      </c>
      <c r="F39" s="92">
        <f>+'BP Sophrokhepri'!G27</f>
        <v>-0.35839999999999994</v>
      </c>
      <c r="G39" s="92">
        <f>+'BP Sophrokhepri'!H27</f>
        <v>-0.28671999999999997</v>
      </c>
    </row>
    <row r="40" spans="1:31" x14ac:dyDescent="0.25">
      <c r="A40" s="62" t="s">
        <v>165</v>
      </c>
      <c r="B40" s="4">
        <v>5</v>
      </c>
      <c r="C40" s="92">
        <f>+'BP Sophrokhepri'!D28</f>
        <v>0</v>
      </c>
      <c r="D40" s="92">
        <f>+'BP Sophrokhepri'!E28</f>
        <v>-8.84</v>
      </c>
      <c r="E40" s="92">
        <f>+'BP Sophrokhepri'!F28</f>
        <v>-7.0720000000000001</v>
      </c>
      <c r="F40" s="92">
        <f>+'BP Sophrokhepri'!G28</f>
        <v>-5.6576000000000004</v>
      </c>
      <c r="G40" s="92">
        <f>+'BP Sophrokhepri'!H28</f>
        <v>-4.5260800000000003</v>
      </c>
    </row>
    <row r="41" spans="1:31" x14ac:dyDescent="0.25">
      <c r="A41" s="62" t="s">
        <v>174</v>
      </c>
      <c r="B41" s="65">
        <f>10%*(J56+J51)</f>
        <v>0</v>
      </c>
      <c r="C41" s="92">
        <f>+'BP Sophrokhepri'!D29</f>
        <v>8</v>
      </c>
      <c r="D41" s="92">
        <f>+'BP Sophrokhepri'!E29</f>
        <v>8.16</v>
      </c>
      <c r="E41" s="92">
        <f>+'BP Sophrokhepri'!F29</f>
        <v>8.3231999999999999</v>
      </c>
      <c r="F41" s="92">
        <f>+'BP Sophrokhepri'!G29</f>
        <v>8.4896639999999994</v>
      </c>
      <c r="G41" s="92">
        <f>+'BP Sophrokhepri'!H29</f>
        <v>8.6594572799999998</v>
      </c>
    </row>
    <row r="42" spans="1:31" x14ac:dyDescent="0.25">
      <c r="A42" s="63" t="s">
        <v>125</v>
      </c>
      <c r="B42" s="10"/>
      <c r="C42" s="92">
        <f>+'BP Sophrokhepri'!D35</f>
        <v>-105.66990476190475</v>
      </c>
      <c r="D42" s="92">
        <f>+'BP Sophrokhepri'!E35</f>
        <v>-100.86034476190471</v>
      </c>
      <c r="E42" s="92">
        <f>+'BP Sophrokhepri'!F35</f>
        <v>-8.9999964190475907</v>
      </c>
      <c r="F42" s="92">
        <f>+'BP Sophrokhepri'!G35</f>
        <v>143.23774460495241</v>
      </c>
      <c r="G42" s="92">
        <f>+'BP Sophrokhepri'!H35</f>
        <v>323.08443596943226</v>
      </c>
      <c r="Q42" s="191" t="s">
        <v>216</v>
      </c>
      <c r="R42" s="196"/>
      <c r="S42" s="197"/>
      <c r="U42" s="216" t="s">
        <v>220</v>
      </c>
      <c r="V42" s="216"/>
      <c r="W42" s="216"/>
      <c r="Y42" s="185" t="s">
        <v>224</v>
      </c>
      <c r="Z42" s="185"/>
      <c r="AA42" s="185"/>
      <c r="AC42" s="181" t="s">
        <v>228</v>
      </c>
      <c r="AD42" s="181"/>
      <c r="AE42" s="181"/>
    </row>
    <row r="43" spans="1:31" x14ac:dyDescent="0.25">
      <c r="A43" s="63" t="s">
        <v>139</v>
      </c>
      <c r="B43" s="10"/>
      <c r="C43" s="92">
        <f>+'BP Sophrokhepri'!D36</f>
        <v>-5.0559763043973565</v>
      </c>
      <c r="D43" s="92">
        <f>+'BP Sophrokhepri'!E36</f>
        <v>-1.167770577305832</v>
      </c>
      <c r="E43" s="92">
        <f>+'BP Sophrokhepri'!F36</f>
        <v>-3.089597122913694E-2</v>
      </c>
      <c r="F43" s="92">
        <f>+'BP Sophrokhepri'!G36</f>
        <v>0.30585442561699783</v>
      </c>
      <c r="G43" s="92">
        <f>+'BP Sophrokhepri'!H36</f>
        <v>0.47186965775669615</v>
      </c>
      <c r="Q43" s="106" t="s">
        <v>199</v>
      </c>
      <c r="R43" s="106" t="s">
        <v>206</v>
      </c>
      <c r="S43" s="106" t="s">
        <v>200</v>
      </c>
      <c r="U43" s="110" t="s">
        <v>199</v>
      </c>
      <c r="V43" s="110" t="s">
        <v>206</v>
      </c>
      <c r="W43" s="110" t="s">
        <v>200</v>
      </c>
      <c r="Y43" s="112" t="s">
        <v>199</v>
      </c>
      <c r="Z43" s="112" t="s">
        <v>206</v>
      </c>
      <c r="AA43" s="112" t="s">
        <v>200</v>
      </c>
      <c r="AC43" s="114" t="s">
        <v>199</v>
      </c>
      <c r="AD43" s="114" t="s">
        <v>206</v>
      </c>
      <c r="AE43" s="114" t="s">
        <v>200</v>
      </c>
    </row>
    <row r="44" spans="1:31" x14ac:dyDescent="0.25">
      <c r="A44" s="62" t="s">
        <v>126</v>
      </c>
      <c r="B44" s="2"/>
      <c r="C44" s="92">
        <f>+'BP Sophrokhepri'!D37</f>
        <v>0</v>
      </c>
      <c r="D44" s="92">
        <f>+'BP Sophrokhepri'!E37</f>
        <v>0</v>
      </c>
      <c r="E44" s="92">
        <f>+'BP Sophrokhepri'!F37</f>
        <v>0</v>
      </c>
      <c r="F44" s="92">
        <f>+'BP Sophrokhepri'!G37</f>
        <v>0</v>
      </c>
      <c r="G44" s="92">
        <f>+'BP Sophrokhepri'!H37</f>
        <v>0</v>
      </c>
      <c r="J44" s="172" t="s">
        <v>197</v>
      </c>
      <c r="K44" s="172"/>
      <c r="L44" s="206" t="s">
        <v>190</v>
      </c>
      <c r="M44" s="207"/>
      <c r="N44" s="208"/>
      <c r="Q44" s="89">
        <f>+$K$26*11</f>
        <v>2640</v>
      </c>
      <c r="R44" s="103">
        <v>1.9E-3</v>
      </c>
      <c r="S44" s="107">
        <f>R44*Q44</f>
        <v>5.016</v>
      </c>
      <c r="U44" s="89">
        <f>+$K$26*11</f>
        <v>2640</v>
      </c>
      <c r="V44" s="103">
        <v>3.0000000000000001E-3</v>
      </c>
      <c r="W44" s="107">
        <f>V44*U44</f>
        <v>7.92</v>
      </c>
      <c r="Y44" s="89">
        <f>+'BP Sophrokhepri'!AY25</f>
        <v>0</v>
      </c>
      <c r="Z44" s="97">
        <f>+'BP Sophrokhepri'!AZ25</f>
        <v>0</v>
      </c>
      <c r="AA44" s="89">
        <f>+'BP Sophrokhepri'!BA25</f>
        <v>0</v>
      </c>
      <c r="AC44" s="89">
        <f>+'BP Sophrokhepri'!BI25</f>
        <v>0</v>
      </c>
      <c r="AD44" s="97">
        <f>+'BP Sophrokhepri'!BJ25</f>
        <v>0</v>
      </c>
      <c r="AE44" s="89">
        <f>+'BP Sophrokhepri'!BK25</f>
        <v>0</v>
      </c>
    </row>
    <row r="45" spans="1:31" x14ac:dyDescent="0.25">
      <c r="A45" s="62" t="s">
        <v>127</v>
      </c>
      <c r="B45" s="2"/>
      <c r="C45" s="92">
        <f>+'BP Sophrokhepri'!D39</f>
        <v>0</v>
      </c>
      <c r="D45" s="92">
        <f>+'BP Sophrokhepri'!E39</f>
        <v>0</v>
      </c>
      <c r="E45" s="92">
        <f>+'BP Sophrokhepri'!F39</f>
        <v>0</v>
      </c>
      <c r="F45" s="92">
        <f>+'BP Sophrokhepri'!G39</f>
        <v>0</v>
      </c>
      <c r="G45" s="92">
        <f>+'BP Sophrokhepri'!H39</f>
        <v>0</v>
      </c>
      <c r="J45" s="100" t="s">
        <v>5</v>
      </c>
      <c r="K45" s="100" t="s">
        <v>198</v>
      </c>
      <c r="L45" s="100" t="s">
        <v>199</v>
      </c>
      <c r="M45" s="100" t="s">
        <v>206</v>
      </c>
      <c r="N45" s="100" t="s">
        <v>200</v>
      </c>
    </row>
    <row r="46" spans="1:31" x14ac:dyDescent="0.25">
      <c r="A46" s="62" t="s">
        <v>128</v>
      </c>
      <c r="B46" s="3">
        <v>0.25</v>
      </c>
      <c r="C46" s="92">
        <f>+'BP Sophrokhepri'!D42</f>
        <v>0</v>
      </c>
      <c r="D46" s="92">
        <f>+'BP Sophrokhepri'!E42</f>
        <v>25.215086190476178</v>
      </c>
      <c r="E46" s="92">
        <f>+'BP Sophrokhepri'!F42</f>
        <v>2.2499991047618977</v>
      </c>
      <c r="F46" s="92">
        <f>+'BP Sophrokhepri'!G42</f>
        <v>-35.809436151238103</v>
      </c>
      <c r="G46" s="92">
        <f>+'BP Sophrokhepri'!H42</f>
        <v>-80.771108992358066</v>
      </c>
      <c r="J46" s="96">
        <f>+'BP Sophrokhepri'!M27</f>
        <v>8</v>
      </c>
      <c r="K46" s="96">
        <f>+'BP Sophrokhepri'!N27</f>
        <v>1728</v>
      </c>
      <c r="L46" s="96">
        <f>+'BP Sophrokhepri'!O27</f>
        <v>19008</v>
      </c>
      <c r="M46" s="102">
        <f>+'BP Sophrokhepri'!P27</f>
        <v>4.3139730639730637E-4</v>
      </c>
      <c r="N46" s="123">
        <f>+'BP Sophrokhepri'!Q27</f>
        <v>8.1999999999999993</v>
      </c>
    </row>
    <row r="47" spans="1:31" x14ac:dyDescent="0.25">
      <c r="A47" s="63" t="s">
        <v>129</v>
      </c>
      <c r="B47" s="10"/>
      <c r="C47" s="92">
        <f>+'BP Sophrokhepri'!D43</f>
        <v>-105.66990476190475</v>
      </c>
      <c r="D47" s="92">
        <f>+'BP Sophrokhepri'!E43</f>
        <v>-75.645258571428542</v>
      </c>
      <c r="E47" s="92">
        <f>+'BP Sophrokhepri'!F43</f>
        <v>-6.7499973142856931</v>
      </c>
      <c r="F47" s="92">
        <f>+'BP Sophrokhepri'!G43</f>
        <v>107.42830845371431</v>
      </c>
      <c r="G47" s="92">
        <f>+'BP Sophrokhepri'!H43</f>
        <v>242.31332697707421</v>
      </c>
    </row>
    <row r="50" spans="1:10" x14ac:dyDescent="0.25">
      <c r="A50" s="8" t="s">
        <v>177</v>
      </c>
    </row>
    <row r="51" spans="1:10" x14ac:dyDescent="0.25">
      <c r="A51" s="75" t="s">
        <v>178</v>
      </c>
      <c r="B51" s="74"/>
      <c r="C51" s="131" t="s">
        <v>190</v>
      </c>
      <c r="D51" s="119" t="s">
        <v>191</v>
      </c>
      <c r="E51" s="118" t="s">
        <v>192</v>
      </c>
      <c r="F51" s="117" t="s">
        <v>193</v>
      </c>
      <c r="G51" s="116" t="s">
        <v>194</v>
      </c>
      <c r="I51" s="198" t="s">
        <v>140</v>
      </c>
      <c r="J51" s="198"/>
    </row>
    <row r="52" spans="1:10" x14ac:dyDescent="0.25">
      <c r="A52" s="74" t="s">
        <v>133</v>
      </c>
      <c r="B52" s="78"/>
      <c r="C52" s="92">
        <f>+'BP Sophrokhepri'!D46</f>
        <v>-104.76990476190474</v>
      </c>
      <c r="D52" s="92">
        <f>+'BP Sophrokhepri'!E46</f>
        <v>-85.045258571428548</v>
      </c>
      <c r="E52" s="92">
        <f>+'BP Sophrokhepri'!F46</f>
        <v>-14.269997314285693</v>
      </c>
      <c r="F52" s="92">
        <f>+'BP Sophrokhepri'!G46</f>
        <v>101.4123084537143</v>
      </c>
      <c r="G52" s="92">
        <f>+'BP Sophrokhepri'!H46</f>
        <v>237.5005269770742</v>
      </c>
      <c r="I52" s="2" t="s">
        <v>171</v>
      </c>
      <c r="J52" s="2">
        <v>10</v>
      </c>
    </row>
    <row r="53" spans="1:10" x14ac:dyDescent="0.25">
      <c r="A53" s="76" t="s">
        <v>138</v>
      </c>
      <c r="B53" s="79">
        <v>150</v>
      </c>
      <c r="C53" s="92">
        <f>+'BP Sophrokhepri'!D47</f>
        <v>94</v>
      </c>
      <c r="D53" s="92">
        <f>+'BP Sophrokhepri'!E47</f>
        <v>49.2</v>
      </c>
      <c r="E53" s="92">
        <f>+'BP Sophrokhepri'!F47</f>
        <v>0</v>
      </c>
      <c r="F53" s="92">
        <f>+'BP Sophrokhepri'!G47</f>
        <v>0</v>
      </c>
      <c r="G53" s="92">
        <f>+'BP Sophrokhepri'!H47</f>
        <v>0</v>
      </c>
      <c r="I53" s="2" t="s">
        <v>172</v>
      </c>
      <c r="J53" s="2">
        <v>150</v>
      </c>
    </row>
    <row r="54" spans="1:10" x14ac:dyDescent="0.25">
      <c r="A54" s="76" t="s">
        <v>134</v>
      </c>
      <c r="B54" s="79">
        <v>50</v>
      </c>
      <c r="C54" s="92">
        <f>+'BP Sophrokhepri'!D48</f>
        <v>10</v>
      </c>
      <c r="D54" s="92">
        <f>+'BP Sophrokhepri'!E48</f>
        <v>0</v>
      </c>
      <c r="E54" s="92">
        <f>+'BP Sophrokhepri'!F48</f>
        <v>0</v>
      </c>
      <c r="F54" s="92">
        <f>+'BP Sophrokhepri'!G48</f>
        <v>0</v>
      </c>
      <c r="G54" s="92">
        <f>+'BP Sophrokhepri'!H48</f>
        <v>0</v>
      </c>
      <c r="I54" s="2" t="s">
        <v>173</v>
      </c>
      <c r="J54" s="2">
        <f>+J52+J53</f>
        <v>160</v>
      </c>
    </row>
    <row r="55" spans="1:10" x14ac:dyDescent="0.25">
      <c r="A55" s="76" t="s">
        <v>135</v>
      </c>
      <c r="B55" s="78"/>
      <c r="C55" s="92">
        <f>+'BP Sophrokhepri'!D49</f>
        <v>10.7</v>
      </c>
      <c r="D55" s="92">
        <f>+'BP Sophrokhepri'!E49</f>
        <v>11.344000000000001</v>
      </c>
      <c r="E55" s="92">
        <f>+'BP Sophrokhepri'!F49</f>
        <v>11.990880000000001</v>
      </c>
      <c r="F55" s="92">
        <f>+'BP Sophrokhepri'!G49</f>
        <v>12.340697600000002</v>
      </c>
      <c r="G55" s="92">
        <f>+'BP Sophrokhepri'!H49</f>
        <v>12.587511552000002</v>
      </c>
    </row>
    <row r="56" spans="1:10" x14ac:dyDescent="0.25">
      <c r="A56" s="76" t="s">
        <v>136</v>
      </c>
      <c r="B56" s="78"/>
      <c r="C56" s="92">
        <f>+'BP Sophrokhepri'!D51</f>
        <v>104.73334311806914</v>
      </c>
      <c r="D56" s="92">
        <f>+'BP Sophrokhepri'!E51</f>
        <v>35.284580821917785</v>
      </c>
      <c r="E56" s="92">
        <f>+'BP Sophrokhepri'!F51</f>
        <v>75.83308652837573</v>
      </c>
      <c r="F56" s="92">
        <f>+'BP Sophrokhepri'!G51</f>
        <v>21.771691311780813</v>
      </c>
      <c r="G56" s="92">
        <f>+'BP Sophrokhepri'!H51</f>
        <v>34.24173017911238</v>
      </c>
      <c r="I56" s="199" t="s">
        <v>170</v>
      </c>
      <c r="J56" s="200"/>
    </row>
    <row r="57" spans="1:10" x14ac:dyDescent="0.25">
      <c r="A57" s="76" t="s">
        <v>146</v>
      </c>
      <c r="B57" s="78">
        <v>-7</v>
      </c>
      <c r="C57" s="92">
        <f>+'BP Sophrokhepri'!D52</f>
        <v>2.8</v>
      </c>
      <c r="D57" s="92">
        <f>+'BP Sophrokhepri'!E52</f>
        <v>0</v>
      </c>
      <c r="E57" s="92">
        <f>+'BP Sophrokhepri'!F52</f>
        <v>0</v>
      </c>
      <c r="F57" s="92">
        <f>+'BP Sophrokhepri'!G52</f>
        <v>0</v>
      </c>
      <c r="G57" s="92">
        <f>+'BP Sophrokhepri'!H52</f>
        <v>0</v>
      </c>
      <c r="I57" s="2" t="s">
        <v>168</v>
      </c>
      <c r="J57" s="2">
        <v>25</v>
      </c>
    </row>
    <row r="58" spans="1:10" x14ac:dyDescent="0.25">
      <c r="A58" s="76" t="s">
        <v>148</v>
      </c>
      <c r="B58" s="78"/>
      <c r="C58" s="92">
        <f>+'BP Sophrokhepri'!D53</f>
        <v>44.2</v>
      </c>
      <c r="D58" s="92">
        <f>+'BP Sophrokhepri'!E53</f>
        <v>0</v>
      </c>
      <c r="E58" s="92">
        <f>+'BP Sophrokhepri'!F53</f>
        <v>0</v>
      </c>
      <c r="F58" s="92">
        <f>+'BP Sophrokhepri'!G53</f>
        <v>0</v>
      </c>
      <c r="G58" s="92">
        <f>+'BP Sophrokhepri'!H53</f>
        <v>0</v>
      </c>
      <c r="I58" s="2" t="s">
        <v>169</v>
      </c>
      <c r="J58" s="2">
        <v>25</v>
      </c>
    </row>
    <row r="59" spans="1:10" x14ac:dyDescent="0.25">
      <c r="A59" s="76" t="s">
        <v>153</v>
      </c>
      <c r="B59" s="78">
        <v>-8</v>
      </c>
      <c r="C59" s="92">
        <f>+'BP Sophrokhepri'!D54</f>
        <v>-8</v>
      </c>
      <c r="D59" s="92">
        <f>+'BP Sophrokhepri'!E54</f>
        <v>0</v>
      </c>
      <c r="E59" s="92">
        <f>+'BP Sophrokhepri'!F54</f>
        <v>0</v>
      </c>
      <c r="F59" s="92">
        <f>+'BP Sophrokhepri'!G54</f>
        <v>0</v>
      </c>
      <c r="G59" s="92">
        <f>+'BP Sophrokhepri'!H54</f>
        <v>0</v>
      </c>
      <c r="I59" s="2" t="s">
        <v>173</v>
      </c>
      <c r="J59" s="2">
        <f>+J57+J58</f>
        <v>50</v>
      </c>
    </row>
    <row r="60" spans="1:10" x14ac:dyDescent="0.25">
      <c r="A60" s="77" t="s">
        <v>137</v>
      </c>
      <c r="B60" s="80">
        <v>185</v>
      </c>
      <c r="C60" s="92">
        <f>+'BP Sophrokhepri'!D55</f>
        <v>154.36343835616441</v>
      </c>
      <c r="D60" s="92">
        <f>+'BP Sophrokhepri'!E55</f>
        <v>165.14676060665366</v>
      </c>
      <c r="E60" s="92">
        <f>+'BP Sophrokhepri'!F55</f>
        <v>238.7007298207437</v>
      </c>
      <c r="F60" s="92">
        <f>+'BP Sophrokhepri'!G55</f>
        <v>374.22542718623879</v>
      </c>
      <c r="G60" s="92">
        <f>+'BP Sophrokhepri'!H55</f>
        <v>658.55519589442542</v>
      </c>
    </row>
    <row r="64" spans="1:10" x14ac:dyDescent="0.25">
      <c r="A64" s="8" t="s">
        <v>179</v>
      </c>
    </row>
    <row r="65" spans="1:7" x14ac:dyDescent="0.25">
      <c r="A65" s="82" t="s">
        <v>156</v>
      </c>
      <c r="B65" s="81"/>
      <c r="C65" s="131" t="s">
        <v>190</v>
      </c>
      <c r="D65" s="119" t="s">
        <v>191</v>
      </c>
      <c r="E65" s="118" t="s">
        <v>192</v>
      </c>
      <c r="F65" s="117" t="s">
        <v>193</v>
      </c>
      <c r="G65" s="116" t="s">
        <v>194</v>
      </c>
    </row>
    <row r="66" spans="1:7" x14ac:dyDescent="0.25">
      <c r="A66" s="81" t="s">
        <v>185</v>
      </c>
      <c r="B66" s="84">
        <v>50</v>
      </c>
      <c r="C66" s="92">
        <f>+'BP Sophrokhepri'!D58</f>
        <v>-95.669904761904746</v>
      </c>
      <c r="D66" s="92">
        <f>+'BP Sophrokhepri'!E58</f>
        <v>-171.31516333333329</v>
      </c>
      <c r="E66" s="92">
        <f>+'BP Sophrokhepri'!F58</f>
        <v>-178.065160647619</v>
      </c>
      <c r="F66" s="92">
        <f>+'BP Sophrokhepri'!G58</f>
        <v>-70.636852193904687</v>
      </c>
      <c r="G66" s="92">
        <f>+'BP Sophrokhepri'!H58</f>
        <v>171.67647478316951</v>
      </c>
    </row>
    <row r="67" spans="1:7" x14ac:dyDescent="0.25">
      <c r="A67" s="81" t="s">
        <v>140</v>
      </c>
      <c r="B67" s="84">
        <v>150</v>
      </c>
      <c r="C67" s="92">
        <f>+'BP Sophrokhepri'!D59</f>
        <v>94</v>
      </c>
      <c r="D67" s="92">
        <f>+'BP Sophrokhepri'!E59</f>
        <v>143.19999999999999</v>
      </c>
      <c r="E67" s="92">
        <f>+'BP Sophrokhepri'!F59</f>
        <v>143.19999999999999</v>
      </c>
      <c r="F67" s="92">
        <f>+'BP Sophrokhepri'!G59</f>
        <v>143.19999999999999</v>
      </c>
      <c r="G67" s="92">
        <f>+'BP Sophrokhepri'!H59</f>
        <v>143.19999999999999</v>
      </c>
    </row>
    <row r="68" spans="1:7" x14ac:dyDescent="0.25">
      <c r="A68" s="81" t="s">
        <v>141</v>
      </c>
      <c r="B68" s="84"/>
      <c r="C68" s="92">
        <f>+'BP Sophrokhepri'!D60</f>
        <v>10.7</v>
      </c>
      <c r="D68" s="92">
        <f>+'BP Sophrokhepri'!E60</f>
        <v>22.044</v>
      </c>
      <c r="E68" s="92">
        <f>+'BP Sophrokhepri'!F60</f>
        <v>34.034880000000001</v>
      </c>
      <c r="F68" s="92">
        <f>+'BP Sophrokhepri'!G60</f>
        <v>46.3755776</v>
      </c>
      <c r="G68" s="92">
        <f>+'BP Sophrokhepri'!H60</f>
        <v>58.963089152000002</v>
      </c>
    </row>
    <row r="69" spans="1:7" x14ac:dyDescent="0.25">
      <c r="A69" s="81" t="s">
        <v>142</v>
      </c>
      <c r="B69" s="84"/>
      <c r="C69" s="92">
        <f>+'BP Sophrokhepri'!D61</f>
        <v>91.976904761904763</v>
      </c>
      <c r="D69" s="92">
        <f>+'BP Sophrokhepri'!E61</f>
        <v>101.43770476190475</v>
      </c>
      <c r="E69" s="92">
        <f>+'BP Sophrokhepri'!F61</f>
        <v>162.63950361904759</v>
      </c>
      <c r="F69" s="92">
        <f>+'BP Sophrokhepri'!G61</f>
        <v>161.22111273904758</v>
      </c>
      <c r="G69" s="92">
        <f>+'BP Sophrokhepri'!H61</f>
        <v>161.17461004144761</v>
      </c>
    </row>
    <row r="70" spans="1:7" x14ac:dyDescent="0.25">
      <c r="A70" s="83" t="s">
        <v>143</v>
      </c>
      <c r="B70" s="84"/>
      <c r="C70" s="92">
        <f>+'BP Sophrokhepri'!D62</f>
        <v>13.1</v>
      </c>
      <c r="D70" s="92">
        <f>+'BP Sophrokhepri'!E62</f>
        <v>40</v>
      </c>
      <c r="E70" s="92">
        <f>+'BP Sophrokhepri'!F62</f>
        <v>58</v>
      </c>
      <c r="F70" s="92">
        <f>+'BP Sophrokhepri'!G62</f>
        <v>84.1</v>
      </c>
      <c r="G70" s="92">
        <f>+'BP Sophrokhepri'!H62</f>
        <v>121.94499999999999</v>
      </c>
    </row>
    <row r="71" spans="1:7" x14ac:dyDescent="0.25">
      <c r="A71" s="83" t="s">
        <v>144</v>
      </c>
      <c r="B71" s="84"/>
      <c r="C71" s="92">
        <f>+'BP Sophrokhepri'!D63</f>
        <v>1.6</v>
      </c>
      <c r="D71" s="92">
        <f>+'BP Sophrokhepri'!E63</f>
        <v>1.6</v>
      </c>
      <c r="E71" s="92">
        <f>+'BP Sophrokhepri'!F63</f>
        <v>1.6</v>
      </c>
      <c r="F71" s="92">
        <f>+'BP Sophrokhepri'!G63</f>
        <v>1.6</v>
      </c>
      <c r="G71" s="92">
        <f>+'BP Sophrokhepri'!H63</f>
        <v>1.6</v>
      </c>
    </row>
    <row r="72" spans="1:7" x14ac:dyDescent="0.25">
      <c r="A72" s="83" t="s">
        <v>145</v>
      </c>
      <c r="B72" s="84">
        <v>200</v>
      </c>
      <c r="C72" s="92">
        <f>+'BP Sophrokhepri'!D64</f>
        <v>115.70700000000001</v>
      </c>
      <c r="D72" s="92">
        <f>+'BP Sophrokhepri'!E64</f>
        <v>136.96654142857145</v>
      </c>
      <c r="E72" s="92">
        <f>+'BP Sophrokhepri'!F64</f>
        <v>221.40922297142859</v>
      </c>
      <c r="F72" s="92">
        <f>+'BP Sophrokhepri'!G64</f>
        <v>365.85983814514293</v>
      </c>
      <c r="G72" s="92">
        <f>+'BP Sophrokhepri'!H64</f>
        <v>658.55917397661722</v>
      </c>
    </row>
    <row r="73" spans="1:7" x14ac:dyDescent="0.25">
      <c r="B73" s="67"/>
      <c r="C73" s="67"/>
      <c r="D73" s="67"/>
      <c r="E73" s="67"/>
      <c r="F73" s="67"/>
      <c r="G73" s="67"/>
    </row>
    <row r="74" spans="1:7" x14ac:dyDescent="0.25">
      <c r="A74" s="85" t="s">
        <v>146</v>
      </c>
      <c r="B74" s="88">
        <f>+'BP Sophrokhepri'!B66</f>
        <v>0</v>
      </c>
      <c r="C74" s="92">
        <f>+'BP Sophrokhepri'!D66</f>
        <v>-2.8</v>
      </c>
      <c r="D74" s="92">
        <f>+'BP Sophrokhepri'!E66</f>
        <v>-2.2399999999999998</v>
      </c>
      <c r="E74" s="92">
        <f>+'BP Sophrokhepri'!F66</f>
        <v>-1.7919999999999998</v>
      </c>
      <c r="F74" s="92">
        <f>+'BP Sophrokhepri'!G66</f>
        <v>-1.4335999999999998</v>
      </c>
      <c r="G74" s="92">
        <f>+'BP Sophrokhepri'!H66</f>
        <v>-1.1468799999999999</v>
      </c>
    </row>
    <row r="75" spans="1:7" x14ac:dyDescent="0.25">
      <c r="A75" s="85" t="s">
        <v>148</v>
      </c>
      <c r="B75" s="92">
        <f>+'BP Sophrokhepri'!B67</f>
        <v>0</v>
      </c>
      <c r="C75" s="92">
        <f>+'BP Sophrokhepri'!D67</f>
        <v>-44.2</v>
      </c>
      <c r="D75" s="92">
        <f>+'BP Sophrokhepri'!E67</f>
        <v>-35.36</v>
      </c>
      <c r="E75" s="92">
        <f>+'BP Sophrokhepri'!F67</f>
        <v>-28.288</v>
      </c>
      <c r="F75" s="92">
        <f>+'BP Sophrokhepri'!G67</f>
        <v>-22.630400000000002</v>
      </c>
      <c r="G75" s="92">
        <f>+'BP Sophrokhepri'!H67</f>
        <v>-18.104320000000001</v>
      </c>
    </row>
    <row r="76" spans="1:7" x14ac:dyDescent="0.25">
      <c r="A76" s="85" t="s">
        <v>147</v>
      </c>
      <c r="B76" s="92">
        <f>+'BP Sophrokhepri'!B68</f>
        <v>0</v>
      </c>
      <c r="C76" s="92">
        <f>+'BP Sophrokhepri'!D68</f>
        <v>8</v>
      </c>
      <c r="D76" s="92">
        <f>+'BP Sophrokhepri'!E68</f>
        <v>8</v>
      </c>
      <c r="E76" s="92">
        <f>+'BP Sophrokhepri'!F68</f>
        <v>8</v>
      </c>
      <c r="F76" s="92">
        <f>+'BP Sophrokhepri'!G68</f>
        <v>8</v>
      </c>
      <c r="G76" s="92">
        <f>+'BP Sophrokhepri'!H68</f>
        <v>8</v>
      </c>
    </row>
    <row r="77" spans="1:7" x14ac:dyDescent="0.25">
      <c r="A77" s="85" t="s">
        <v>149</v>
      </c>
      <c r="B77" s="92">
        <f>+'BP Sophrokhepri'!B69</f>
        <v>0</v>
      </c>
      <c r="C77" s="92">
        <f>+'BP Sophrokhepri'!D69</f>
        <v>0</v>
      </c>
      <c r="D77" s="92">
        <f>+'BP Sophrokhepri'!E69</f>
        <v>0</v>
      </c>
      <c r="E77" s="92">
        <f>+'BP Sophrokhepri'!F69</f>
        <v>0</v>
      </c>
      <c r="F77" s="92">
        <f>+'BP Sophrokhepri'!G69</f>
        <v>0</v>
      </c>
      <c r="G77" s="92">
        <f>+'BP Sophrokhepri'!H69</f>
        <v>0</v>
      </c>
    </row>
    <row r="78" spans="1:7" x14ac:dyDescent="0.25">
      <c r="A78" s="85" t="s">
        <v>150</v>
      </c>
      <c r="B78" s="92">
        <f>+'BP Sophrokhepri'!B70</f>
        <v>0</v>
      </c>
      <c r="C78" s="92">
        <f>+'BP Sophrokhepri'!D70</f>
        <v>0.34356164383561644</v>
      </c>
      <c r="D78" s="92">
        <f>+'BP Sophrokhepri'!E70</f>
        <v>1.4197808219178083</v>
      </c>
      <c r="E78" s="92">
        <f>+'BP Sophrokhepri'!F70</f>
        <v>4.788493150684932</v>
      </c>
      <c r="F78" s="92">
        <f>+'BP Sophrokhepri'!G70</f>
        <v>7.6984109589041081</v>
      </c>
      <c r="G78" s="92">
        <f>+'BP Sophrokhepri'!H70</f>
        <v>11.25517808219178</v>
      </c>
    </row>
    <row r="79" spans="1:7" x14ac:dyDescent="0.25">
      <c r="A79" s="85" t="s">
        <v>151</v>
      </c>
      <c r="B79" s="92">
        <f>+'BP Sophrokhepri'!B71</f>
        <v>0</v>
      </c>
      <c r="C79" s="92">
        <f>+'BP Sophrokhepri'!D71</f>
        <v>0</v>
      </c>
      <c r="D79" s="92">
        <f>+'BP Sophrokhepri'!E71</f>
        <v>0</v>
      </c>
      <c r="E79" s="92">
        <f>+'BP Sophrokhepri'!F71</f>
        <v>0</v>
      </c>
      <c r="F79" s="92">
        <f>+'BP Sophrokhepri'!G71</f>
        <v>0</v>
      </c>
      <c r="G79" s="92">
        <f>+'BP Sophrokhepri'!H71</f>
        <v>0</v>
      </c>
    </row>
    <row r="80" spans="1:7" x14ac:dyDescent="0.25">
      <c r="A80" s="85" t="s">
        <v>152</v>
      </c>
      <c r="B80" s="92">
        <f>+'BP Sophrokhepri'!B72</f>
        <v>10</v>
      </c>
      <c r="C80" s="92">
        <f>+'BP Sophrokhepri'!D72</f>
        <v>154.36343835616441</v>
      </c>
      <c r="D80" s="92">
        <f>+'BP Sophrokhepri'!E72</f>
        <v>165.14676060665366</v>
      </c>
      <c r="E80" s="92">
        <f>+'BP Sophrokhepri'!F72</f>
        <v>238.7007298207437</v>
      </c>
      <c r="F80" s="92">
        <f>+'BP Sophrokhepri'!G72</f>
        <v>374.22542718623879</v>
      </c>
      <c r="G80" s="92">
        <f>+'BP Sophrokhepri'!H72</f>
        <v>658.55519589442542</v>
      </c>
    </row>
    <row r="81" spans="1:7" x14ac:dyDescent="0.25">
      <c r="A81" s="86" t="s">
        <v>154</v>
      </c>
      <c r="B81" s="92">
        <f>+'BP Sophrokhepri'!B73</f>
        <v>10</v>
      </c>
      <c r="C81" s="92">
        <f>+'BP Sophrokhepri'!D73</f>
        <v>115.70700000000002</v>
      </c>
      <c r="D81" s="92">
        <f>+'BP Sophrokhepri'!E73</f>
        <v>136.96654142857147</v>
      </c>
      <c r="E81" s="92">
        <f>+'BP Sophrokhepri'!F73</f>
        <v>221.40922297142865</v>
      </c>
      <c r="F81" s="92">
        <f>+'BP Sophrokhepri'!G73</f>
        <v>365.85983814514287</v>
      </c>
      <c r="G81" s="92">
        <f>+'BP Sophrokhepri'!H73</f>
        <v>658.55917397661722</v>
      </c>
    </row>
    <row r="82" spans="1:7" x14ac:dyDescent="0.25">
      <c r="A82" s="87" t="s">
        <v>155</v>
      </c>
      <c r="B82" s="92">
        <f>+'BP Sophrokhepri'!B74</f>
        <v>0</v>
      </c>
      <c r="C82" s="92">
        <f>+'BP Sophrokhepri'!D74</f>
        <v>0</v>
      </c>
      <c r="D82" s="92">
        <f>+'BP Sophrokhepri'!E74</f>
        <v>0</v>
      </c>
      <c r="E82" s="92">
        <f>+'BP Sophrokhepri'!F74</f>
        <v>0</v>
      </c>
      <c r="F82" s="92">
        <f>+'BP Sophrokhepri'!G74</f>
        <v>0</v>
      </c>
      <c r="G82" s="92">
        <f>+'BP Sophrokhepri'!H74</f>
        <v>0</v>
      </c>
    </row>
    <row r="83" spans="1:7" x14ac:dyDescent="0.25">
      <c r="A83" s="69"/>
      <c r="B83" s="70"/>
      <c r="C83" s="70"/>
      <c r="D83" s="70"/>
      <c r="E83" s="70"/>
      <c r="F83" s="70"/>
      <c r="G83" s="70"/>
    </row>
    <row r="84" spans="1:7" x14ac:dyDescent="0.25">
      <c r="A84" s="69"/>
      <c r="B84" s="70"/>
      <c r="C84" s="70"/>
      <c r="D84" s="70"/>
      <c r="E84" s="70"/>
      <c r="F84" s="70"/>
      <c r="G84" s="70"/>
    </row>
    <row r="85" spans="1:7" x14ac:dyDescent="0.25">
      <c r="A85" s="69" t="s">
        <v>180</v>
      </c>
    </row>
    <row r="86" spans="1:7" x14ac:dyDescent="0.25">
      <c r="A86" s="90" t="s">
        <v>76</v>
      </c>
      <c r="B86" s="89"/>
      <c r="C86" s="131" t="s">
        <v>190</v>
      </c>
      <c r="D86" s="119" t="s">
        <v>191</v>
      </c>
      <c r="E86" s="118" t="s">
        <v>192</v>
      </c>
      <c r="F86" s="117" t="s">
        <v>193</v>
      </c>
      <c r="G86" s="116" t="s">
        <v>194</v>
      </c>
    </row>
    <row r="87" spans="1:7" x14ac:dyDescent="0.25">
      <c r="A87" s="89" t="s">
        <v>149</v>
      </c>
      <c r="B87" s="89"/>
      <c r="C87" s="92"/>
      <c r="D87" s="92"/>
      <c r="E87" s="92"/>
      <c r="F87" s="92"/>
      <c r="G87" s="92"/>
    </row>
    <row r="88" spans="1:7" x14ac:dyDescent="0.25">
      <c r="A88" s="89" t="s">
        <v>157</v>
      </c>
      <c r="B88" s="89"/>
      <c r="C88" s="92">
        <f>+'BP Sophrokhepri'!D78</f>
        <v>0.34356164383561644</v>
      </c>
      <c r="D88" s="92">
        <f>+'BP Sophrokhepri'!E78</f>
        <v>1.4197808219178083</v>
      </c>
      <c r="E88" s="92">
        <f>+'BP Sophrokhepri'!F78</f>
        <v>4.788493150684932</v>
      </c>
      <c r="F88" s="92">
        <f>+'BP Sophrokhepri'!G78</f>
        <v>7.6984109589041081</v>
      </c>
      <c r="G88" s="92">
        <f>+'BP Sophrokhepri'!H78</f>
        <v>11.25517808219178</v>
      </c>
    </row>
    <row r="89" spans="1:7" x14ac:dyDescent="0.25">
      <c r="A89" s="89" t="s">
        <v>158</v>
      </c>
      <c r="B89" s="89"/>
      <c r="C89" s="92">
        <f>+'BP Sophrokhepri'!D79</f>
        <v>91.976904761904763</v>
      </c>
      <c r="D89" s="92">
        <f>+'BP Sophrokhepri'!E79</f>
        <v>101.43770476190475</v>
      </c>
      <c r="E89" s="92">
        <f>+'BP Sophrokhepri'!F79</f>
        <v>162.63950361904759</v>
      </c>
      <c r="F89" s="92">
        <f>+'BP Sophrokhepri'!G79</f>
        <v>161.22111273904758</v>
      </c>
      <c r="G89" s="92">
        <f>+'BP Sophrokhepri'!H79</f>
        <v>161.17461004144761</v>
      </c>
    </row>
    <row r="90" spans="1:7" x14ac:dyDescent="0.25">
      <c r="A90" s="89" t="s">
        <v>143</v>
      </c>
      <c r="B90" s="89"/>
      <c r="C90" s="92">
        <f>+'BP Sophrokhepri'!D80</f>
        <v>13.1</v>
      </c>
      <c r="D90" s="92">
        <f>+'BP Sophrokhepri'!E80</f>
        <v>40</v>
      </c>
      <c r="E90" s="92">
        <f>+'BP Sophrokhepri'!F80</f>
        <v>58</v>
      </c>
      <c r="F90" s="92">
        <f>+'BP Sophrokhepri'!G80</f>
        <v>84.1</v>
      </c>
      <c r="G90" s="92">
        <f>+'BP Sophrokhepri'!H80</f>
        <v>121.94499999999999</v>
      </c>
    </row>
    <row r="91" spans="1:7" x14ac:dyDescent="0.25">
      <c r="A91" s="89" t="s">
        <v>76</v>
      </c>
      <c r="B91" s="89"/>
      <c r="C91" s="92">
        <f>+'BP Sophrokhepri'!D81</f>
        <v>-104.73334311806914</v>
      </c>
      <c r="D91" s="92">
        <f>+'BP Sophrokhepri'!E81</f>
        <v>-140.01792393998693</v>
      </c>
      <c r="E91" s="92">
        <f>+'BP Sophrokhepri'!F81</f>
        <v>-215.85101046836266</v>
      </c>
      <c r="F91" s="92">
        <f>+'BP Sophrokhepri'!G81</f>
        <v>-237.62270178014347</v>
      </c>
      <c r="G91" s="92">
        <f>+'BP Sophrokhepri'!H81</f>
        <v>-271.86443195925585</v>
      </c>
    </row>
    <row r="92" spans="1:7" x14ac:dyDescent="0.25">
      <c r="A92" s="89" t="s">
        <v>159</v>
      </c>
      <c r="B92" s="89"/>
      <c r="C92" s="92">
        <f>+'BP Sophrokhepri'!D82</f>
        <v>104.73334311806914</v>
      </c>
      <c r="D92" s="92">
        <f>+'BP Sophrokhepri'!E82</f>
        <v>35.284580821917785</v>
      </c>
      <c r="E92" s="92">
        <f>+'BP Sophrokhepri'!F82</f>
        <v>75.83308652837573</v>
      </c>
      <c r="F92" s="92">
        <f>+'BP Sophrokhepri'!G82</f>
        <v>21.771691311780813</v>
      </c>
      <c r="G92" s="92">
        <f>+'BP Sophrokhepri'!H82</f>
        <v>34.24173017911238</v>
      </c>
    </row>
    <row r="93" spans="1:7" x14ac:dyDescent="0.25">
      <c r="A93" s="91" t="s">
        <v>160</v>
      </c>
      <c r="B93" s="89"/>
      <c r="C93" s="92">
        <f>+'BP Sophrokhepri'!D83</f>
        <v>0</v>
      </c>
      <c r="D93" s="92">
        <f>+'BP Sophrokhepri'!E83</f>
        <v>0</v>
      </c>
      <c r="E93" s="92">
        <f>+'BP Sophrokhepri'!F83</f>
        <v>0</v>
      </c>
      <c r="F93" s="92">
        <f>+'BP Sophrokhepri'!G83</f>
        <v>0</v>
      </c>
      <c r="G93" s="92">
        <f>+'BP Sophrokhepri'!H83</f>
        <v>0</v>
      </c>
    </row>
    <row r="94" spans="1:7" x14ac:dyDescent="0.25">
      <c r="A94" s="91" t="s">
        <v>161</v>
      </c>
      <c r="B94" s="89"/>
      <c r="C94" s="92">
        <f>+'BP Sophrokhepri'!D84</f>
        <v>5</v>
      </c>
      <c r="D94" s="92">
        <f>+'BP Sophrokhepri'!E84</f>
        <v>5</v>
      </c>
      <c r="E94" s="92">
        <f>+'BP Sophrokhepri'!F84</f>
        <v>5</v>
      </c>
      <c r="F94" s="92">
        <f>+'BP Sophrokhepri'!G84</f>
        <v>5</v>
      </c>
      <c r="G94" s="92">
        <f>+'BP Sophrokhepri'!H84</f>
        <v>5</v>
      </c>
    </row>
    <row r="95" spans="1:7" x14ac:dyDescent="0.25">
      <c r="A95" s="91" t="s">
        <v>162</v>
      </c>
      <c r="B95" s="89"/>
      <c r="C95" s="92">
        <f>+'BP Sophrokhepri'!D85</f>
        <v>0</v>
      </c>
      <c r="D95" s="92">
        <f>+'BP Sophrokhepri'!E85</f>
        <v>0</v>
      </c>
      <c r="E95" s="92">
        <f>+'BP Sophrokhepri'!F85</f>
        <v>0</v>
      </c>
      <c r="F95" s="92">
        <f>+'BP Sophrokhepri'!G85</f>
        <v>0</v>
      </c>
      <c r="G95" s="92">
        <f>+'BP Sophrokhepri'!H85</f>
        <v>0</v>
      </c>
    </row>
    <row r="96" spans="1:7" x14ac:dyDescent="0.25">
      <c r="A96" s="91" t="s">
        <v>163</v>
      </c>
      <c r="B96" s="89"/>
      <c r="C96" s="94">
        <v>0.2</v>
      </c>
      <c r="D96" s="94">
        <v>0.2</v>
      </c>
      <c r="E96" s="94">
        <v>0.2</v>
      </c>
      <c r="F96" s="94">
        <v>0.2</v>
      </c>
      <c r="G96" s="94">
        <v>0.2</v>
      </c>
    </row>
  </sheetData>
  <mergeCells count="30">
    <mergeCell ref="J36:L36"/>
    <mergeCell ref="Q42:S42"/>
    <mergeCell ref="I51:J51"/>
    <mergeCell ref="I56:J56"/>
    <mergeCell ref="A21:A22"/>
    <mergeCell ref="U24:W24"/>
    <mergeCell ref="Y24:AA24"/>
    <mergeCell ref="AC24:AE24"/>
    <mergeCell ref="J28:L28"/>
    <mergeCell ref="M28:N28"/>
    <mergeCell ref="Q28:S28"/>
    <mergeCell ref="U28:W28"/>
    <mergeCell ref="Y28:AA28"/>
    <mergeCell ref="AC28:AE28"/>
    <mergeCell ref="J24:K24"/>
    <mergeCell ref="L24:N24"/>
    <mergeCell ref="Q24:S24"/>
    <mergeCell ref="U32:W32"/>
    <mergeCell ref="Y32:AA32"/>
    <mergeCell ref="AC32:AE32"/>
    <mergeCell ref="J33:K33"/>
    <mergeCell ref="J34:K34"/>
    <mergeCell ref="J32:L32"/>
    <mergeCell ref="M32:N32"/>
    <mergeCell ref="Q32:S32"/>
    <mergeCell ref="U42:W42"/>
    <mergeCell ref="Y42:AA42"/>
    <mergeCell ref="AC42:AE42"/>
    <mergeCell ref="J44:K44"/>
    <mergeCell ref="L44:N4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BP Sophrokhepri</vt:lpstr>
      <vt:lpstr>Début BP</vt:lpstr>
      <vt:lpstr>Structure des flux</vt:lpstr>
      <vt:lpstr>DECOUPAGE POUR PREZ</vt:lpstr>
      <vt:lpstr>'Début BP'!Zone_d_impression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Dell</cp:lastModifiedBy>
  <dcterms:created xsi:type="dcterms:W3CDTF">2015-01-28T10:39:50Z</dcterms:created>
  <dcterms:modified xsi:type="dcterms:W3CDTF">2017-09-01T16:41:01Z</dcterms:modified>
</cp:coreProperties>
</file>