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45" windowWidth="15960" windowHeight="11760" activeTab="1"/>
  </bookViews>
  <sheets>
    <sheet name="sujet" sheetId="1" r:id="rId1"/>
    <sheet name="Compte de résultat" sheetId="2" r:id="rId2"/>
    <sheet name="Budget de Trésorerie" sheetId="3" r:id="rId3"/>
    <sheet name="TVA" sheetId="4" r:id="rId4"/>
  </sheets>
  <calcPr calcId="125725"/>
  <fileRecoveryPr repairLoad="1"/>
</workbook>
</file>

<file path=xl/calcChain.xml><?xml version="1.0" encoding="utf-8"?>
<calcChain xmlns="http://schemas.openxmlformats.org/spreadsheetml/2006/main">
  <c r="H37" i="2"/>
  <c r="I37"/>
  <c r="J37"/>
  <c r="K37"/>
  <c r="L37"/>
  <c r="M37"/>
  <c r="B5"/>
  <c r="B5" i="4" s="1"/>
  <c r="B7" i="2"/>
  <c r="B7" i="3" s="1"/>
  <c r="B15" i="2"/>
  <c r="B15" i="4" s="1"/>
  <c r="B17" i="2"/>
  <c r="B16" i="4" s="1"/>
  <c r="B10" i="2"/>
  <c r="B18" s="1"/>
  <c r="B20"/>
  <c r="B19" i="4" s="1"/>
  <c r="B21" i="2"/>
  <c r="B20" i="4" s="1"/>
  <c r="C5" i="2"/>
  <c r="C5" i="4" s="1"/>
  <c r="C7" i="2"/>
  <c r="C38" s="1"/>
  <c r="C12"/>
  <c r="C13" i="4" s="1"/>
  <c r="C15" i="2"/>
  <c r="C15" i="4" s="1"/>
  <c r="C17" i="2"/>
  <c r="C16" i="4" s="1"/>
  <c r="C20" i="2"/>
  <c r="C19" i="4" s="1"/>
  <c r="C21" i="2"/>
  <c r="C20" i="4" s="1"/>
  <c r="D5" i="2"/>
  <c r="D5" i="4" s="1"/>
  <c r="D7" i="2"/>
  <c r="D7" i="3" s="1"/>
  <c r="D7" i="4" s="1"/>
  <c r="D12" i="2"/>
  <c r="D13" i="4" s="1"/>
  <c r="D15" i="2"/>
  <c r="D15" i="4" s="1"/>
  <c r="D17" i="2"/>
  <c r="D16" i="4" s="1"/>
  <c r="D20" i="2"/>
  <c r="D26" i="3" s="1"/>
  <c r="D21" i="2"/>
  <c r="D20" i="4" s="1"/>
  <c r="E5" i="2"/>
  <c r="E5" i="4" s="1"/>
  <c r="E7" i="2"/>
  <c r="E38" s="1"/>
  <c r="E15"/>
  <c r="E15" i="4" s="1"/>
  <c r="E17" i="2"/>
  <c r="E16" i="4" s="1"/>
  <c r="E20" i="2"/>
  <c r="E26" i="3" s="1"/>
  <c r="E21" i="2"/>
  <c r="E20" i="4" s="1"/>
  <c r="F5" i="2"/>
  <c r="F5" i="4" s="1"/>
  <c r="F7" i="2"/>
  <c r="F38" s="1"/>
  <c r="F15"/>
  <c r="F15" i="4" s="1"/>
  <c r="F17" i="2"/>
  <c r="F16" i="4" s="1"/>
  <c r="F20" i="2"/>
  <c r="F19" i="4" s="1"/>
  <c r="F21" i="2"/>
  <c r="F27" i="3" s="1"/>
  <c r="I5" i="2"/>
  <c r="I12" s="1"/>
  <c r="I5" i="4"/>
  <c r="I7" i="2"/>
  <c r="I38" s="1"/>
  <c r="I15"/>
  <c r="I15" i="4" s="1"/>
  <c r="I17" i="2"/>
  <c r="I16" i="4" s="1"/>
  <c r="I10" i="2"/>
  <c r="I19" s="1"/>
  <c r="I20"/>
  <c r="I19" i="4" s="1"/>
  <c r="I21" i="2"/>
  <c r="I20" i="4"/>
  <c r="J5" i="2"/>
  <c r="J5" i="4" s="1"/>
  <c r="J7" i="2"/>
  <c r="J7" i="3" s="1"/>
  <c r="J7" i="4" s="1"/>
  <c r="J12" i="2"/>
  <c r="J13" i="4" s="1"/>
  <c r="J15" i="2"/>
  <c r="J15" i="4" s="1"/>
  <c r="J17" i="2"/>
  <c r="J16" i="4" s="1"/>
  <c r="J20" i="2"/>
  <c r="J19" i="4" s="1"/>
  <c r="J21" i="2"/>
  <c r="J20" i="4" s="1"/>
  <c r="K5" i="2"/>
  <c r="K5" i="4" s="1"/>
  <c r="K7" i="2"/>
  <c r="K10" s="1"/>
  <c r="K15"/>
  <c r="K15" i="4" s="1"/>
  <c r="K17" i="2"/>
  <c r="K16" i="4" s="1"/>
  <c r="K20" i="2"/>
  <c r="K19" i="4"/>
  <c r="K21" i="2"/>
  <c r="K20" i="4" s="1"/>
  <c r="L5" i="2"/>
  <c r="L5" i="4" s="1"/>
  <c r="L7" i="2"/>
  <c r="L38" s="1"/>
  <c r="L7" i="3"/>
  <c r="L7" i="4" s="1"/>
  <c r="L15" i="2"/>
  <c r="L15" i="4" s="1"/>
  <c r="L17" i="2"/>
  <c r="L16" i="4"/>
  <c r="L10" i="2"/>
  <c r="L18" s="1"/>
  <c r="L20"/>
  <c r="L19" i="4" s="1"/>
  <c r="L21" i="2"/>
  <c r="L20" i="4"/>
  <c r="M5" i="2"/>
  <c r="M12" s="1"/>
  <c r="M13" i="4" s="1"/>
  <c r="M7" i="2"/>
  <c r="M38" s="1"/>
  <c r="M15"/>
  <c r="M15" i="4" s="1"/>
  <c r="M17" i="2"/>
  <c r="M16" i="4" s="1"/>
  <c r="M20" i="2"/>
  <c r="M19" i="4" s="1"/>
  <c r="M21" i="2"/>
  <c r="M20" i="4"/>
  <c r="G5" i="2"/>
  <c r="G5" i="4" s="1"/>
  <c r="G15" i="2"/>
  <c r="G15" i="4"/>
  <c r="G17" i="2"/>
  <c r="G16" i="4" s="1"/>
  <c r="G7" i="2"/>
  <c r="G38" s="1"/>
  <c r="G20"/>
  <c r="G19" i="4" s="1"/>
  <c r="G21" i="2"/>
  <c r="G27" i="3" s="1"/>
  <c r="G22" i="4"/>
  <c r="H5" i="2"/>
  <c r="H5" i="4" s="1"/>
  <c r="H15" i="2"/>
  <c r="H15" i="4"/>
  <c r="H17" i="2"/>
  <c r="H16" i="4" s="1"/>
  <c r="H7" i="2"/>
  <c r="H38" s="1"/>
  <c r="H20"/>
  <c r="H26" i="3" s="1"/>
  <c r="H21" i="2"/>
  <c r="H20" i="4"/>
  <c r="N22"/>
  <c r="H7" i="3"/>
  <c r="H7" i="4" s="1"/>
  <c r="M5" i="3"/>
  <c r="M16" i="2"/>
  <c r="M22" i="3" s="1"/>
  <c r="M23"/>
  <c r="M27"/>
  <c r="M29"/>
  <c r="M30"/>
  <c r="M26" i="2"/>
  <c r="M28" s="1"/>
  <c r="M37" i="3"/>
  <c r="M35" i="2"/>
  <c r="M38" i="3"/>
  <c r="L5"/>
  <c r="L13" s="1"/>
  <c r="L21"/>
  <c r="L16" i="2"/>
  <c r="L22" i="3" s="1"/>
  <c r="L23"/>
  <c r="L26"/>
  <c r="L27"/>
  <c r="L29"/>
  <c r="L30"/>
  <c r="L26" i="2"/>
  <c r="L31" i="3" s="1"/>
  <c r="L37"/>
  <c r="L35" i="2"/>
  <c r="L38" i="3"/>
  <c r="K5"/>
  <c r="K14" i="2"/>
  <c r="K20" i="3"/>
  <c r="K21"/>
  <c r="K16" i="2"/>
  <c r="K22" i="3" s="1"/>
  <c r="K26"/>
  <c r="K27"/>
  <c r="K29"/>
  <c r="K30"/>
  <c r="H26" i="2"/>
  <c r="H28" s="1"/>
  <c r="J26"/>
  <c r="J31" i="3" s="1"/>
  <c r="K37"/>
  <c r="K35" i="2"/>
  <c r="K38" i="3"/>
  <c r="J5"/>
  <c r="J13" s="1"/>
  <c r="J21"/>
  <c r="J16" i="2"/>
  <c r="J22" i="3" s="1"/>
  <c r="J23"/>
  <c r="J26"/>
  <c r="J27"/>
  <c r="J29"/>
  <c r="J30"/>
  <c r="J37"/>
  <c r="J35" i="2"/>
  <c r="J38" i="3"/>
  <c r="J40"/>
  <c r="I5"/>
  <c r="I16" i="2"/>
  <c r="I22" i="3"/>
  <c r="I23"/>
  <c r="I26"/>
  <c r="I27"/>
  <c r="I29"/>
  <c r="I30"/>
  <c r="I37"/>
  <c r="I35" i="2"/>
  <c r="I38" i="3"/>
  <c r="I42"/>
  <c r="H5"/>
  <c r="H13" s="1"/>
  <c r="H14" i="2"/>
  <c r="H20" i="3" s="1"/>
  <c r="H21"/>
  <c r="H16" i="2"/>
  <c r="H22" i="3" s="1"/>
  <c r="H27"/>
  <c r="H29"/>
  <c r="H30"/>
  <c r="E24" i="2"/>
  <c r="E26"/>
  <c r="E28" s="1"/>
  <c r="F24"/>
  <c r="G24"/>
  <c r="H37" i="3"/>
  <c r="H35" i="2"/>
  <c r="H38" i="3"/>
  <c r="H42"/>
  <c r="G21"/>
  <c r="G16" i="2"/>
  <c r="G22" i="3"/>
  <c r="G23"/>
  <c r="G30"/>
  <c r="G37"/>
  <c r="G35" i="2"/>
  <c r="G38" i="3"/>
  <c r="G40"/>
  <c r="F21"/>
  <c r="F16" i="2"/>
  <c r="F22" i="3" s="1"/>
  <c r="F23"/>
  <c r="F26"/>
  <c r="F29"/>
  <c r="F30"/>
  <c r="F37"/>
  <c r="F35" i="2"/>
  <c r="F38" i="3"/>
  <c r="E14" i="2"/>
  <c r="E20" i="3" s="1"/>
  <c r="E16" i="2"/>
  <c r="E22" i="3" s="1"/>
  <c r="E23"/>
  <c r="E27"/>
  <c r="E29"/>
  <c r="E30"/>
  <c r="B24" i="2"/>
  <c r="B26"/>
  <c r="B31" i="3" s="1"/>
  <c r="C24" i="2"/>
  <c r="D24"/>
  <c r="D26"/>
  <c r="D31" i="3" s="1"/>
  <c r="E37"/>
  <c r="E35" i="2"/>
  <c r="E38" i="3"/>
  <c r="E40"/>
  <c r="D5"/>
  <c r="D21"/>
  <c r="D16" i="2"/>
  <c r="D22" i="3" s="1"/>
  <c r="D27"/>
  <c r="D29"/>
  <c r="D30"/>
  <c r="D37"/>
  <c r="D38"/>
  <c r="C5"/>
  <c r="C21"/>
  <c r="C16" i="2"/>
  <c r="C22" i="3" s="1"/>
  <c r="C26"/>
  <c r="C30"/>
  <c r="C37"/>
  <c r="C38"/>
  <c r="B141" i="1"/>
  <c r="B5" i="3"/>
  <c r="B18"/>
  <c r="B14" i="2"/>
  <c r="B20" i="3"/>
  <c r="B21"/>
  <c r="B16" i="2"/>
  <c r="B22" i="3" s="1"/>
  <c r="B26"/>
  <c r="B27"/>
  <c r="B29"/>
  <c r="B30"/>
  <c r="B33"/>
  <c r="B37"/>
  <c r="N37" s="1"/>
  <c r="B38"/>
  <c r="B42"/>
  <c r="N40"/>
  <c r="N38"/>
  <c r="N35"/>
  <c r="M14" i="2"/>
  <c r="L14"/>
  <c r="L28"/>
  <c r="J14"/>
  <c r="I14"/>
  <c r="G14"/>
  <c r="F14"/>
  <c r="D14"/>
  <c r="C14"/>
  <c r="N14"/>
  <c r="N21"/>
  <c r="N25"/>
  <c r="N32"/>
  <c r="N34"/>
  <c r="N35"/>
  <c r="N37"/>
  <c r="H9" i="4" l="1"/>
  <c r="C27" i="3"/>
  <c r="N27" s="1"/>
  <c r="C26" i="2"/>
  <c r="C31" i="3" s="1"/>
  <c r="M31"/>
  <c r="H12" i="2"/>
  <c r="G12"/>
  <c r="K7" i="3"/>
  <c r="K7" i="4" s="1"/>
  <c r="I18" i="2"/>
  <c r="F20" i="4"/>
  <c r="F7" i="3"/>
  <c r="F7" i="4" s="1"/>
  <c r="E19"/>
  <c r="C10" i="2"/>
  <c r="N7"/>
  <c r="N17"/>
  <c r="B23" i="3"/>
  <c r="C29"/>
  <c r="C23"/>
  <c r="N30"/>
  <c r="D23"/>
  <c r="D13"/>
  <c r="B28" i="2"/>
  <c r="E21" i="3"/>
  <c r="F5"/>
  <c r="G26"/>
  <c r="G26" i="2"/>
  <c r="G31" i="3" s="1"/>
  <c r="H23"/>
  <c r="I21"/>
  <c r="I26" i="2"/>
  <c r="K23" i="3"/>
  <c r="M21"/>
  <c r="G7"/>
  <c r="G7" i="4" s="1"/>
  <c r="G9" s="1"/>
  <c r="H19"/>
  <c r="G20"/>
  <c r="G10" i="2"/>
  <c r="M5" i="4"/>
  <c r="L9"/>
  <c r="K12" i="2"/>
  <c r="F10"/>
  <c r="F18" s="1"/>
  <c r="E7" i="3"/>
  <c r="E7" i="4" s="1"/>
  <c r="E9" s="1"/>
  <c r="D19"/>
  <c r="N21" i="3"/>
  <c r="K13"/>
  <c r="H10" i="2"/>
  <c r="H19" s="1"/>
  <c r="D9" i="4"/>
  <c r="N15" i="2"/>
  <c r="N22" i="3"/>
  <c r="D28" i="2"/>
  <c r="D30" s="1"/>
  <c r="E31" i="3"/>
  <c r="E5"/>
  <c r="K18"/>
  <c r="N5" i="2"/>
  <c r="N20"/>
  <c r="D18" i="3"/>
  <c r="E18"/>
  <c r="G5"/>
  <c r="G13" s="1"/>
  <c r="F26" i="2"/>
  <c r="K26"/>
  <c r="M10"/>
  <c r="K9" i="4"/>
  <c r="J9"/>
  <c r="F9"/>
  <c r="E12" i="2"/>
  <c r="H25" i="3"/>
  <c r="H18" i="4"/>
  <c r="K19" i="2"/>
  <c r="K18"/>
  <c r="I25" i="3"/>
  <c r="I18" i="4"/>
  <c r="N15"/>
  <c r="H30" i="2"/>
  <c r="L24" i="3"/>
  <c r="L17" i="4"/>
  <c r="N16"/>
  <c r="B30" i="2"/>
  <c r="I13" i="4"/>
  <c r="J18" i="3"/>
  <c r="F24"/>
  <c r="F17" i="4"/>
  <c r="B24" i="3"/>
  <c r="B17" i="4"/>
  <c r="N5"/>
  <c r="B7"/>
  <c r="B9" s="1"/>
  <c r="B13" i="3"/>
  <c r="N20" i="4"/>
  <c r="N19"/>
  <c r="N26" i="2"/>
  <c r="N16"/>
  <c r="M7" i="3"/>
  <c r="M7" i="4" s="1"/>
  <c r="M9" s="1"/>
  <c r="L12" i="2"/>
  <c r="J10"/>
  <c r="I7" i="3"/>
  <c r="F12" i="2"/>
  <c r="D10"/>
  <c r="C7" i="3"/>
  <c r="B12" i="2"/>
  <c r="J38"/>
  <c r="B38"/>
  <c r="H18"/>
  <c r="H40" s="1"/>
  <c r="H42" s="1"/>
  <c r="L19"/>
  <c r="F19"/>
  <c r="B19"/>
  <c r="K38"/>
  <c r="N24"/>
  <c r="E30"/>
  <c r="L30"/>
  <c r="M30"/>
  <c r="G29" i="3"/>
  <c r="N29" s="1"/>
  <c r="H31"/>
  <c r="J28" i="2"/>
  <c r="D38"/>
  <c r="M26" i="3"/>
  <c r="N26" s="1"/>
  <c r="E10" i="2"/>
  <c r="F31" i="3" l="1"/>
  <c r="N31" s="1"/>
  <c r="F28" i="2"/>
  <c r="I28"/>
  <c r="I31" i="3"/>
  <c r="C19" i="2"/>
  <c r="C18"/>
  <c r="I17" i="4"/>
  <c r="I24" i="3"/>
  <c r="I24" i="4"/>
  <c r="K28" i="2"/>
  <c r="K30" s="1"/>
  <c r="K31" i="3"/>
  <c r="E13"/>
  <c r="N5"/>
  <c r="K13" i="4"/>
  <c r="L18" i="3"/>
  <c r="I18"/>
  <c r="H13" i="4"/>
  <c r="C28" i="2"/>
  <c r="E13" i="4"/>
  <c r="F18" i="3"/>
  <c r="M19" i="2"/>
  <c r="M18"/>
  <c r="G19"/>
  <c r="G18"/>
  <c r="G13" i="4"/>
  <c r="H18" i="3"/>
  <c r="N38" i="2"/>
  <c r="N7" i="3"/>
  <c r="I44"/>
  <c r="F13"/>
  <c r="N23"/>
  <c r="G28" i="2"/>
  <c r="N28" s="1"/>
  <c r="L25" i="3"/>
  <c r="L18" i="4"/>
  <c r="G18" i="3"/>
  <c r="F13" i="4"/>
  <c r="K33" i="3"/>
  <c r="F18" i="4"/>
  <c r="F25" i="3"/>
  <c r="D19" i="2"/>
  <c r="D18"/>
  <c r="N10"/>
  <c r="L13" i="4"/>
  <c r="M18" i="3"/>
  <c r="M13"/>
  <c r="E19" i="2"/>
  <c r="E18"/>
  <c r="B18" i="4"/>
  <c r="B25" i="3"/>
  <c r="C13"/>
  <c r="C7" i="4"/>
  <c r="C9" s="1"/>
  <c r="J19" i="2"/>
  <c r="J18"/>
  <c r="K18" i="4"/>
  <c r="K25" i="3"/>
  <c r="J30" i="2"/>
  <c r="H17" i="4"/>
  <c r="H24" i="3"/>
  <c r="C18"/>
  <c r="N12" i="2"/>
  <c r="B13" i="4"/>
  <c r="I7"/>
  <c r="I9" s="1"/>
  <c r="I26" s="1"/>
  <c r="J42" i="3" s="1"/>
  <c r="I13"/>
  <c r="I46" s="1"/>
  <c r="K40" i="2"/>
  <c r="K42" s="1"/>
  <c r="K17" i="4"/>
  <c r="K24" s="1"/>
  <c r="K26" s="1"/>
  <c r="L42" i="3" s="1"/>
  <c r="K24"/>
  <c r="L40" i="2"/>
  <c r="L42" s="1"/>
  <c r="B40"/>
  <c r="B42" s="1"/>
  <c r="B43" s="1"/>
  <c r="M18" i="4" l="1"/>
  <c r="M24" s="1"/>
  <c r="M26" s="1"/>
  <c r="M25" i="3"/>
  <c r="M44" s="1"/>
  <c r="M46" s="1"/>
  <c r="M17" i="4"/>
  <c r="M24" i="3"/>
  <c r="C30" i="2"/>
  <c r="E33" i="3"/>
  <c r="C17" i="4"/>
  <c r="C24" s="1"/>
  <c r="C24" i="3"/>
  <c r="F30" i="2"/>
  <c r="F40" s="1"/>
  <c r="F42" s="1"/>
  <c r="H33" i="3"/>
  <c r="N33"/>
  <c r="C25"/>
  <c r="C18" i="4"/>
  <c r="G30" i="2"/>
  <c r="G40" s="1"/>
  <c r="G42" s="1"/>
  <c r="G18" i="4"/>
  <c r="G25" i="3"/>
  <c r="I30" i="2"/>
  <c r="I40"/>
  <c r="I42" s="1"/>
  <c r="H44" i="3"/>
  <c r="H46" s="1"/>
  <c r="H24" i="4"/>
  <c r="N13" i="3"/>
  <c r="M40" i="2"/>
  <c r="M42" s="1"/>
  <c r="G17" i="4"/>
  <c r="G24" i="3"/>
  <c r="C26" i="4"/>
  <c r="D42" i="3" s="1"/>
  <c r="J17" i="4"/>
  <c r="J24" i="3"/>
  <c r="B44"/>
  <c r="E18" i="4"/>
  <c r="E25" i="3"/>
  <c r="L24" i="4"/>
  <c r="L26" s="1"/>
  <c r="M42" i="3" s="1"/>
  <c r="N9" i="4"/>
  <c r="J25" i="3"/>
  <c r="J18" i="4"/>
  <c r="N18" i="3"/>
  <c r="E17" i="4"/>
  <c r="E24" s="1"/>
  <c r="E26" s="1"/>
  <c r="F42" i="3" s="1"/>
  <c r="F44" s="1"/>
  <c r="F46" s="1"/>
  <c r="E24"/>
  <c r="E40" i="2"/>
  <c r="E42" s="1"/>
  <c r="D18" i="4"/>
  <c r="D25" i="3"/>
  <c r="N7" i="4"/>
  <c r="J40" i="2"/>
  <c r="J42" s="1"/>
  <c r="B24" i="4"/>
  <c r="N13"/>
  <c r="D17"/>
  <c r="D24" i="3"/>
  <c r="N18" i="2"/>
  <c r="D40"/>
  <c r="D42" s="1"/>
  <c r="N19"/>
  <c r="F24" i="4"/>
  <c r="F26" s="1"/>
  <c r="G42" i="3" s="1"/>
  <c r="G44" s="1"/>
  <c r="G46" s="1"/>
  <c r="L44"/>
  <c r="L46" s="1"/>
  <c r="D43" i="2" l="1"/>
  <c r="E43" s="1"/>
  <c r="F43" s="1"/>
  <c r="G43" s="1"/>
  <c r="H43" s="1"/>
  <c r="I43" s="1"/>
  <c r="J43" s="1"/>
  <c r="K43" s="1"/>
  <c r="L43" s="1"/>
  <c r="M43" s="1"/>
  <c r="N30"/>
  <c r="G24" i="4"/>
  <c r="C40" i="2"/>
  <c r="C42" s="1"/>
  <c r="C43" s="1"/>
  <c r="N18" i="4"/>
  <c r="N25" i="3"/>
  <c r="J24" i="4"/>
  <c r="J26" s="1"/>
  <c r="K42" i="3" s="1"/>
  <c r="K44" s="1"/>
  <c r="K46" s="1"/>
  <c r="D44"/>
  <c r="D46" s="1"/>
  <c r="N24"/>
  <c r="B26" i="4"/>
  <c r="N40" i="2"/>
  <c r="N42" s="1"/>
  <c r="J44" i="3"/>
  <c r="J46" s="1"/>
  <c r="D24" i="4"/>
  <c r="D26" s="1"/>
  <c r="E42" i="3" s="1"/>
  <c r="E44" s="1"/>
  <c r="E46" s="1"/>
  <c r="N17" i="4"/>
  <c r="B46" i="3"/>
  <c r="N24" i="4" l="1"/>
  <c r="B47" i="3"/>
  <c r="N26" i="4"/>
  <c r="C42" i="3"/>
  <c r="N42" l="1"/>
  <c r="C44"/>
  <c r="C46" l="1"/>
  <c r="N44"/>
  <c r="C47" l="1"/>
  <c r="D47" s="1"/>
  <c r="E47" s="1"/>
  <c r="F47" s="1"/>
  <c r="G47" s="1"/>
  <c r="H47" s="1"/>
  <c r="I47" s="1"/>
  <c r="J47" s="1"/>
  <c r="K47" s="1"/>
  <c r="L47" s="1"/>
  <c r="M47" s="1"/>
  <c r="N46"/>
</calcChain>
</file>

<file path=xl/sharedStrings.xml><?xml version="1.0" encoding="utf-8"?>
<sst xmlns="http://schemas.openxmlformats.org/spreadsheetml/2006/main" count="229" uniqueCount="142">
  <si>
    <t>A la bonne Pissaladière</t>
  </si>
  <si>
    <t>La SAS "A la bonne Pissaladière" est une entreprise de Traiteur au service des entreprises d'organisation d'événements (congrès, colloques, etc.)</t>
  </si>
  <si>
    <t>Elle fournit donc des repas clés-en-main, mais aussi, avec le temps, a développé une activité de location de meubles (chaises, tableau, matériels de vidéo, etc.)</t>
  </si>
  <si>
    <t>au service de ses clients.</t>
  </si>
  <si>
    <t>Aujourd'hui, elle envisage de développer cette deuxième activité, et souhaite donc disposer d'un prévisionnel détaillé, tant au niveau de son résultat que de sa trésorerie.</t>
  </si>
  <si>
    <t>La société a donc deux activités</t>
  </si>
  <si>
    <t xml:space="preserve"> - Traiteur, qui est une activité de vente de marchandises</t>
  </si>
  <si>
    <t>- location de matériel, qui est une activité de prestation de services</t>
  </si>
  <si>
    <t>Rappel :</t>
  </si>
  <si>
    <t>S'agissant de la vente de repas à emporter, le taux de TVA applicables est de 5,5 %. Le fait générateur et la date d'exigibilité de la TVA ainsi collectée sont les mêmes, à savoir</t>
  </si>
  <si>
    <t>la date de livraison, qui correspond à celle de la facturation.</t>
  </si>
  <si>
    <t>S'agissant de l'activité de location, le taux de TVA applicable est de 20,00 %. Le fait générateur de la TVA ainsi collectée est la date de réalisation de la prestation, mais la date d'exigibilité est la date d'encaissement.</t>
  </si>
  <si>
    <t>Budget quantitatif des ventes par activité :</t>
  </si>
  <si>
    <t>A/ TRAITEUR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</si>
  <si>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</si>
  <si>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</si>
  <si>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</si>
  <si>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</si>
  <si>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</si>
  <si>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</si>
  <si>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</si>
  <si>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</si>
  <si>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</si>
  <si>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</si>
  <si>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</si>
  <si>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</si>
  <si>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Traiteurs / Repas type A</t>
  </si>
  <si>
    <t>Traiteurs / Repas type B</t>
  </si>
  <si>
    <t>Traiteurs / Repas type C</t>
  </si>
  <si>
    <t>Les prix de vente unitaires HT des repas sont les suivants :</t>
  </si>
  <si>
    <t>1er Semestre</t>
  </si>
  <si>
    <t>2ème Semestre</t>
  </si>
  <si>
    <t>B/ LOCATION DE MATÉRIEL</t>
  </si>
  <si>
    <t>Nombre de jours de location</t>
  </si>
  <si>
    <t>1er trimestre</t>
  </si>
  <si>
    <t>2e trimestre</t>
  </si>
  <si>
    <t>3e trimestre</t>
  </si>
  <si>
    <t>4e trimestre</t>
  </si>
  <si>
    <t>Facturation moyenne HT d'un</t>
  </si>
  <si>
    <t>jour de location</t>
  </si>
  <si>
    <t>Budget des achats</t>
  </si>
  <si>
    <t>Sur l'activité traiteur, on compte une marge brute  de 55 %</t>
  </si>
  <si>
    <t>Sur l'activité location, les biens loués étant immobilisés à l'actif de la société, il n'y a pas lieu de prendre en compte des achats</t>
  </si>
  <si>
    <t>Budget des frais généraux</t>
  </si>
  <si>
    <t>Les frais généraux sont les suivants (base trimestrielle HT) :</t>
  </si>
  <si>
    <t>Loyers</t>
  </si>
  <si>
    <t>(non soumis à TVA)</t>
  </si>
  <si>
    <t>Frais d'entretien</t>
  </si>
  <si>
    <t>Assurance</t>
  </si>
  <si>
    <t>Crédit-bail</t>
  </si>
  <si>
    <t>frais de transport</t>
  </si>
  <si>
    <t>4% du CA</t>
  </si>
  <si>
    <t>Publicité</t>
  </si>
  <si>
    <t>1 % du CA</t>
  </si>
  <si>
    <t>Frais de mission</t>
  </si>
  <si>
    <t>Frais de télécommunication</t>
  </si>
  <si>
    <t>Par simplification, pour les charges non proportionnelles au CA, la charges de ces frais se repartit uniformément sur l'année</t>
  </si>
  <si>
    <t>Budget salaires</t>
  </si>
  <si>
    <t>La masse salariale mensuelle brute est la suivante</t>
  </si>
  <si>
    <t>Direction Général</t>
  </si>
  <si>
    <t>qui passe à 5000 à compter du 1er juillet</t>
  </si>
  <si>
    <t>Administration</t>
  </si>
  <si>
    <t>qui passe à 8000 à compter du 1er septembre</t>
  </si>
  <si>
    <t>Commerciaux</t>
  </si>
  <si>
    <t>20 % du CA location avec un minimum de 5 000</t>
  </si>
  <si>
    <t>Les charges sociales sont de 20 % pour la part salariale et 42 % pour la part patronale</t>
  </si>
  <si>
    <t>Budget impôts et taxes</t>
  </si>
  <si>
    <t>La prévision d'Impôts et taxes est la suivante</t>
  </si>
  <si>
    <t>Taxe professionnelle</t>
  </si>
  <si>
    <t>Budget des charges financières</t>
  </si>
  <si>
    <t>Les charges financières, hors intérêts d'emprunt, sont estimées 1000 par mois</t>
  </si>
  <si>
    <t>Autres informations</t>
  </si>
  <si>
    <t>Les achats de marchandises sont, par simplification, tous au taux de 5.5 % et les frais généraux (sauf mention contraire) sont assujettis à la TVA au taux normal</t>
  </si>
  <si>
    <t>La société est au régime réel normal mensuel</t>
  </si>
  <si>
    <t>Le clients Traiteur payent comptant pour la moitié et à 30 jours pour le solde.</t>
  </si>
  <si>
    <t>Les achats de marchandises sont réglés à 30 jours</t>
  </si>
  <si>
    <t>Les frais généraux sont payés comptant à l'exception des loyers qui sont payés trimestriellement le premier mois de chaque trimestre</t>
  </si>
  <si>
    <t>Les salaires nets sont payés le mois même</t>
  </si>
  <si>
    <t>Les charge sociales sont payées trimestriellement le 15 du mois qui suit chaque trimestre civil</t>
  </si>
  <si>
    <t>La taxe professionnelle est payable moitié le 15 juin et le soldele 15 décembre</t>
  </si>
  <si>
    <t>Un lot important de matériel et de mobilier, destinés à la location est acquis et immobilisé le 15 juin (TVA au taux de 20,00 %), pour 70.000 euros HT</t>
  </si>
  <si>
    <t>Il est payé en trois fois : 1/3 à la commande en avril, 1/3 à la livraison en juin, le solde en septembre.</t>
  </si>
  <si>
    <t>Pour financer cette acquisition, la société souscrit un emprunte de 50.000 à compter du 1er avril, au taux de 4 % annuel remboursable in fine.</t>
  </si>
  <si>
    <t>Vous calculerez les intérêts mensuels d'emprunt et les ajouterez au budget des frais financiers ci-dessus.</t>
  </si>
  <si>
    <t>Les dotations aux amortissements sont de 500 par mois, majorées de 1167 à compter de juillet</t>
  </si>
  <si>
    <t>Une provision statistique mensuelles pour impayés doit être prise en compte à raison de 0.5 % du chiffre d'affaires mensuel des locations</t>
  </si>
  <si>
    <t>Une augmentation de capital de 20.000 euros est prévue en mars. Elle se décompose comme suit :</t>
  </si>
  <si>
    <t>- incorporation de réserve au capital  : 5.000 euros</t>
  </si>
  <si>
    <t>- apport en numéraire : 12.000 euros</t>
  </si>
  <si>
    <t>- apport en nature (armoire frigorifique : 3.000 euros)</t>
  </si>
  <si>
    <t>N.B. : en cas de crédit de TVA, celui-ci sera reporté sur le mois suivant</t>
  </si>
  <si>
    <t>Au 01 janvier N+1, les comptes présentent les caractéristiques suivantes</t>
  </si>
  <si>
    <t>Stocks</t>
  </si>
  <si>
    <t>Néant</t>
  </si>
  <si>
    <t>Créances clients Traiteur</t>
  </si>
  <si>
    <t>payables en janvier</t>
  </si>
  <si>
    <t>Créances clients Location</t>
  </si>
  <si>
    <t>Dette fournisseurs</t>
  </si>
  <si>
    <t>dont 20% payables en janvier, 30 % en février et le solde en mars</t>
  </si>
  <si>
    <t>Trésorerie</t>
  </si>
  <si>
    <t>Dettes TVA</t>
  </si>
  <si>
    <t>payable au 15 janvier</t>
  </si>
  <si>
    <t>Charges sociales</t>
  </si>
  <si>
    <t>TOTAL</t>
  </si>
  <si>
    <t>PRODUITS</t>
  </si>
  <si>
    <t>CA TRAITEUR</t>
  </si>
  <si>
    <t>CA LOCATION</t>
  </si>
  <si>
    <t>TOTAL PRODUITS</t>
  </si>
  <si>
    <t>Achats Traiteur</t>
  </si>
  <si>
    <t>Salaires DG</t>
  </si>
  <si>
    <t>Salaires Adm</t>
  </si>
  <si>
    <t>Salaires Comm</t>
  </si>
  <si>
    <t>S/Total salaires</t>
  </si>
  <si>
    <t>Charges Financières</t>
  </si>
  <si>
    <t>Interêts d'emprunt</t>
  </si>
  <si>
    <t>Dotations aux amts</t>
  </si>
  <si>
    <t>Dotations aux prov.</t>
  </si>
  <si>
    <t>Total des charges</t>
  </si>
  <si>
    <t>Résultat mensuel</t>
  </si>
  <si>
    <t>Résultat cumulé</t>
  </si>
  <si>
    <t>ENCAISSEMENTS</t>
  </si>
  <si>
    <t>Clients Traiteur</t>
  </si>
  <si>
    <t>Clients Location</t>
  </si>
  <si>
    <t>Emprunt</t>
  </si>
  <si>
    <t>Aug de capital</t>
  </si>
  <si>
    <t>Total Encaissemements</t>
  </si>
  <si>
    <t>DECAISSEMENTS</t>
  </si>
  <si>
    <t>Frs Achats</t>
  </si>
  <si>
    <t>Taxe Professionnelle</t>
  </si>
  <si>
    <t>Investissements</t>
  </si>
  <si>
    <t>TVA</t>
  </si>
  <si>
    <t>Total décaissements</t>
  </si>
  <si>
    <t>Solde mensuel</t>
  </si>
  <si>
    <t>Soldee cumulé</t>
  </si>
  <si>
    <t>TVA COLLECTEE</t>
  </si>
  <si>
    <t>Tva sur Traiteur</t>
  </si>
  <si>
    <t>TVA  sur location</t>
  </si>
  <si>
    <t>Tva collectée</t>
  </si>
  <si>
    <t>TVA DEDUCTIBLE</t>
  </si>
  <si>
    <t>TVA sur achats</t>
  </si>
  <si>
    <t>Tva déductible</t>
  </si>
  <si>
    <t>TVA A PAYER</t>
  </si>
</sst>
</file>

<file path=xl/styles.xml><?xml version="1.0" encoding="utf-8"?>
<styleSheet xmlns="http://schemas.openxmlformats.org/spreadsheetml/2006/main">
  <numFmts count="1">
    <numFmt numFmtId="164" formatCode="&quot; &quot;* #,##0&quot;   &quot;;&quot;-&quot;* #,##0&quot;   &quot;;&quot; &quot;* &quot;-&quot;??&quot;   &quot;"/>
  </numFmts>
  <fonts count="6">
    <font>
      <sz val="10"/>
      <color indexed="8"/>
      <name val="Arial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1"/>
      <name val="Arial"/>
      <family val="2"/>
    </font>
    <font>
      <b/>
      <sz val="10"/>
      <color indexed="11"/>
      <name val="Arial"/>
      <family val="2"/>
    </font>
    <font>
      <i/>
      <sz val="10"/>
      <color indexed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2" borderId="1" xfId="0" applyNumberFormat="1" applyFont="1" applyFill="1" applyBorder="1" applyAlignment="1">
      <alignment vertical="center"/>
    </xf>
    <xf numFmtId="49" fontId="0" fillId="2" borderId="1" xfId="0" applyNumberFormat="1" applyFont="1" applyFill="1" applyBorder="1" applyAlignment="1"/>
    <xf numFmtId="164" fontId="0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49" fontId="0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49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/>
    <xf numFmtId="0" fontId="0" fillId="0" borderId="0" xfId="0" applyNumberFormat="1" applyFont="1" applyAlignment="1"/>
    <xf numFmtId="164" fontId="3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/>
    <xf numFmtId="0" fontId="0" fillId="2" borderId="1" xfId="0" applyNumberFormat="1" applyFont="1" applyFill="1" applyBorder="1" applyAlignment="1"/>
    <xf numFmtId="164" fontId="3" fillId="2" borderId="1" xfId="0" applyNumberFormat="1" applyFont="1" applyFill="1" applyBorder="1" applyAlignment="1"/>
    <xf numFmtId="0" fontId="0" fillId="0" borderId="0" xfId="0" applyNumberFormat="1" applyFont="1" applyAlignment="1"/>
    <xf numFmtId="49" fontId="5" fillId="2" borderId="1" xfId="0" applyNumberFormat="1" applyFont="1" applyFill="1" applyBorder="1" applyAlignment="1"/>
    <xf numFmtId="164" fontId="5" fillId="2" borderId="1" xfId="0" applyNumberFormat="1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D0806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50"/>
  <sheetViews>
    <sheetView showGridLines="0" topLeftCell="A126" zoomScale="70" zoomScaleNormal="70" workbookViewId="0">
      <selection activeCell="B146" sqref="B146"/>
    </sheetView>
  </sheetViews>
  <sheetFormatPr baseColWidth="10" defaultColWidth="11.42578125" defaultRowHeight="13.15" customHeight="1"/>
  <cols>
    <col min="1" max="1" width="26.85546875" style="1" customWidth="1"/>
    <col min="2" max="2" width="27.42578125" style="1" customWidth="1"/>
    <col min="3" max="3" width="23.42578125" style="1" customWidth="1"/>
    <col min="4" max="4" width="17" style="1" customWidth="1"/>
    <col min="5" max="12" width="11.42578125" style="1" customWidth="1"/>
    <col min="13" max="13" width="22" style="1" customWidth="1"/>
    <col min="14" max="256" width="11.42578125" style="1" customWidth="1"/>
  </cols>
  <sheetData>
    <row r="1" spans="1:13" ht="13.1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3.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3.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3.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3.1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7.45" customHeight="1">
      <c r="A6" s="3" t="s">
        <v>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3.1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3.1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3.1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3.1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3.1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3.15" customHeight="1">
      <c r="A12" s="4" t="s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3.15" customHeight="1">
      <c r="A13" s="4" t="s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3.15" customHeight="1">
      <c r="A14" s="4" t="s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3.15" customHeight="1">
      <c r="A15" s="4" t="s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3.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3.15" customHeight="1">
      <c r="A17" s="4" t="s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3.15" customHeight="1">
      <c r="A18" s="4" t="s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3.15" customHeight="1">
      <c r="A19" s="4" t="s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3.15" customHeight="1">
      <c r="A20" s="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3.15" customHeight="1">
      <c r="A21" s="4" t="s">
        <v>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3.15" customHeight="1">
      <c r="A22" s="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3.15" customHeight="1">
      <c r="A23" s="4" t="s">
        <v>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3.15" customHeight="1">
      <c r="A24" s="4" t="s">
        <v>10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3.15" customHeight="1">
      <c r="A25" s="4" t="s">
        <v>11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3.1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3.1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3.15" customHeight="1">
      <c r="A28" s="4" t="s">
        <v>12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3.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3.15" customHeight="1">
      <c r="A30" s="6" t="s">
        <v>13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3.15" customHeight="1">
      <c r="A31" s="2"/>
      <c r="B31" s="7" t="s">
        <v>14</v>
      </c>
      <c r="C31" s="7" t="s">
        <v>15</v>
      </c>
      <c r="D31" s="7" t="s">
        <v>16</v>
      </c>
      <c r="E31" s="7" t="s">
        <v>17</v>
      </c>
      <c r="F31" s="7" t="s">
        <v>18</v>
      </c>
      <c r="G31" s="7" t="s">
        <v>19</v>
      </c>
      <c r="H31" s="7" t="s">
        <v>20</v>
      </c>
      <c r="I31" s="7" t="s">
        <v>21</v>
      </c>
      <c r="J31" s="7" t="s">
        <v>22</v>
      </c>
      <c r="K31" s="7" t="s">
        <v>23</v>
      </c>
      <c r="L31" s="7" t="s">
        <v>24</v>
      </c>
      <c r="M31" s="7" t="s">
        <v>25</v>
      </c>
    </row>
    <row r="32" spans="1:13" ht="13.15" customHeight="1">
      <c r="A32" s="4" t="s">
        <v>26</v>
      </c>
      <c r="B32" s="5">
        <v>150</v>
      </c>
      <c r="C32" s="5">
        <v>320</v>
      </c>
      <c r="D32" s="5">
        <v>240</v>
      </c>
      <c r="E32" s="5">
        <v>340</v>
      </c>
      <c r="F32" s="5">
        <v>500</v>
      </c>
      <c r="G32" s="5">
        <v>450</v>
      </c>
      <c r="H32" s="5">
        <v>340</v>
      </c>
      <c r="I32" s="5">
        <v>500</v>
      </c>
      <c r="J32" s="5">
        <v>820</v>
      </c>
      <c r="K32" s="5">
        <v>840</v>
      </c>
      <c r="L32" s="5">
        <v>750</v>
      </c>
      <c r="M32" s="5">
        <v>900</v>
      </c>
    </row>
    <row r="33" spans="1:13" ht="13.15" customHeight="1">
      <c r="A33" s="4" t="s">
        <v>27</v>
      </c>
      <c r="B33" s="5">
        <v>250</v>
      </c>
      <c r="C33" s="5">
        <v>450</v>
      </c>
      <c r="D33" s="5">
        <v>560</v>
      </c>
      <c r="E33" s="5">
        <v>560</v>
      </c>
      <c r="F33" s="5">
        <v>600</v>
      </c>
      <c r="G33" s="5">
        <v>700</v>
      </c>
      <c r="H33" s="5">
        <v>450</v>
      </c>
      <c r="I33" s="5">
        <v>300</v>
      </c>
      <c r="J33" s="5">
        <v>350</v>
      </c>
      <c r="K33" s="5">
        <v>400</v>
      </c>
      <c r="L33" s="5">
        <v>200</v>
      </c>
      <c r="M33" s="5">
        <v>450</v>
      </c>
    </row>
    <row r="34" spans="1:13" ht="12" customHeight="1">
      <c r="A34" s="4" t="s">
        <v>28</v>
      </c>
      <c r="B34" s="5">
        <v>30</v>
      </c>
      <c r="C34" s="5">
        <v>40</v>
      </c>
      <c r="D34" s="5">
        <v>50</v>
      </c>
      <c r="E34" s="5">
        <v>50</v>
      </c>
      <c r="F34" s="5">
        <v>50</v>
      </c>
      <c r="G34" s="5">
        <v>50</v>
      </c>
      <c r="H34" s="5">
        <v>50</v>
      </c>
      <c r="I34" s="5">
        <v>50</v>
      </c>
      <c r="J34" s="5">
        <v>50</v>
      </c>
      <c r="K34" s="5">
        <v>70</v>
      </c>
      <c r="L34" s="5">
        <v>70</v>
      </c>
      <c r="M34" s="5">
        <v>70</v>
      </c>
    </row>
    <row r="35" spans="1:13" ht="13.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13.15" customHeight="1">
      <c r="A36" s="4" t="s">
        <v>29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3.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3.15" customHeight="1">
      <c r="A38" s="2"/>
      <c r="B38" s="8" t="s">
        <v>30</v>
      </c>
      <c r="C38" s="8" t="s">
        <v>31</v>
      </c>
      <c r="D38" s="9"/>
      <c r="E38" s="2"/>
      <c r="F38" s="2"/>
      <c r="G38" s="2"/>
      <c r="H38" s="2"/>
      <c r="I38" s="2"/>
      <c r="J38" s="2"/>
      <c r="K38" s="2"/>
      <c r="L38" s="2"/>
      <c r="M38" s="2"/>
    </row>
    <row r="39" spans="1:13" ht="13.15" customHeight="1">
      <c r="A39" s="4" t="s">
        <v>26</v>
      </c>
      <c r="B39" s="10">
        <v>25</v>
      </c>
      <c r="C39" s="10">
        <v>27</v>
      </c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3.15" customHeight="1">
      <c r="A40" s="4" t="s">
        <v>27</v>
      </c>
      <c r="B40" s="10">
        <v>32</v>
      </c>
      <c r="C40" s="10">
        <v>33</v>
      </c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3.15" customHeight="1">
      <c r="A41" s="4" t="s">
        <v>28</v>
      </c>
      <c r="B41" s="5">
        <v>55</v>
      </c>
      <c r="C41" s="5">
        <v>60</v>
      </c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3.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3.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ht="13.15" customHeight="1">
      <c r="A44" s="6" t="s">
        <v>32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3.15" customHeight="1">
      <c r="A45" s="2"/>
      <c r="B45" s="7" t="s">
        <v>14</v>
      </c>
      <c r="C45" s="7" t="s">
        <v>15</v>
      </c>
      <c r="D45" s="7" t="s">
        <v>16</v>
      </c>
      <c r="E45" s="7" t="s">
        <v>17</v>
      </c>
      <c r="F45" s="7" t="s">
        <v>18</v>
      </c>
      <c r="G45" s="7" t="s">
        <v>19</v>
      </c>
      <c r="H45" s="7" t="s">
        <v>20</v>
      </c>
      <c r="I45" s="7" t="s">
        <v>21</v>
      </c>
      <c r="J45" s="7" t="s">
        <v>22</v>
      </c>
      <c r="K45" s="7" t="s">
        <v>23</v>
      </c>
      <c r="L45" s="7" t="s">
        <v>24</v>
      </c>
      <c r="M45" s="7" t="s">
        <v>25</v>
      </c>
    </row>
    <row r="46" spans="1:13" ht="13.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3.15" customHeight="1">
      <c r="A47" s="4" t="s">
        <v>33</v>
      </c>
      <c r="B47" s="5">
        <v>72</v>
      </c>
      <c r="C47" s="5">
        <v>80</v>
      </c>
      <c r="D47" s="5">
        <v>56</v>
      </c>
      <c r="E47" s="5">
        <v>90</v>
      </c>
      <c r="F47" s="5">
        <v>100</v>
      </c>
      <c r="G47" s="5">
        <v>120</v>
      </c>
      <c r="H47" s="5">
        <v>250</v>
      </c>
      <c r="I47" s="5">
        <v>350</v>
      </c>
      <c r="J47" s="5">
        <v>320</v>
      </c>
      <c r="K47" s="5">
        <v>450</v>
      </c>
      <c r="L47" s="5">
        <v>470</v>
      </c>
      <c r="M47" s="5">
        <v>520</v>
      </c>
    </row>
    <row r="48" spans="1:13" ht="13.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3.15" customHeight="1">
      <c r="A49" s="2"/>
      <c r="B49" s="6" t="s">
        <v>34</v>
      </c>
      <c r="C49" s="6" t="s">
        <v>35</v>
      </c>
      <c r="D49" s="6" t="s">
        <v>36</v>
      </c>
      <c r="E49" s="6" t="s">
        <v>37</v>
      </c>
      <c r="F49" s="2"/>
      <c r="G49" s="2"/>
      <c r="H49" s="2"/>
      <c r="I49" s="2"/>
      <c r="J49" s="2"/>
      <c r="K49" s="2"/>
      <c r="L49" s="2"/>
      <c r="M49" s="2"/>
    </row>
    <row r="50" spans="1:13" ht="13.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3.15" customHeight="1">
      <c r="A51" s="4" t="s">
        <v>38</v>
      </c>
      <c r="B51" s="5">
        <v>200</v>
      </c>
      <c r="C51" s="5">
        <v>210</v>
      </c>
      <c r="D51" s="5">
        <v>180</v>
      </c>
      <c r="E51" s="5">
        <v>170</v>
      </c>
      <c r="F51" s="2"/>
      <c r="G51" s="2"/>
      <c r="H51" s="2"/>
      <c r="I51" s="2"/>
      <c r="J51" s="2"/>
      <c r="K51" s="2"/>
      <c r="L51" s="2"/>
      <c r="M51" s="2"/>
    </row>
    <row r="52" spans="1:13" ht="13.15" customHeight="1">
      <c r="A52" s="4" t="s">
        <v>39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3.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3.15" customHeight="1">
      <c r="A54" s="4" t="s">
        <v>40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3.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3.15" customHeight="1">
      <c r="A56" s="4" t="s">
        <v>41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3.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3.15" customHeight="1">
      <c r="A58" s="4" t="s">
        <v>42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3.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3.15" customHeight="1">
      <c r="A60" s="4" t="s">
        <v>43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3.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3.15" customHeight="1">
      <c r="A62" s="4" t="s">
        <v>44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3.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13.15" customHeight="1">
      <c r="A64" s="4" t="s">
        <v>45</v>
      </c>
      <c r="B64" s="5">
        <v>20000</v>
      </c>
      <c r="C64" s="4" t="s">
        <v>46</v>
      </c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13.15" customHeight="1">
      <c r="A65" s="4" t="s">
        <v>47</v>
      </c>
      <c r="B65" s="5">
        <v>3000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ht="13.15" customHeight="1">
      <c r="A66" s="4" t="s">
        <v>48</v>
      </c>
      <c r="B66" s="5">
        <v>1000</v>
      </c>
      <c r="C66" s="4" t="s">
        <v>46</v>
      </c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ht="13.15" customHeight="1">
      <c r="A67" s="4" t="s">
        <v>49</v>
      </c>
      <c r="B67" s="5">
        <v>4000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ht="13.15" customHeight="1">
      <c r="A68" s="4" t="s">
        <v>50</v>
      </c>
      <c r="B68" s="4" t="s">
        <v>51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ht="13.15" customHeight="1">
      <c r="A69" s="4" t="s">
        <v>52</v>
      </c>
      <c r="B69" s="4" t="s">
        <v>53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13.15" customHeight="1">
      <c r="A70" s="4" t="s">
        <v>54</v>
      </c>
      <c r="B70" s="5">
        <v>3000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ht="13.15" customHeight="1">
      <c r="A71" s="4" t="s">
        <v>55</v>
      </c>
      <c r="B71" s="5">
        <v>4000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ht="13.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ht="13.15" customHeight="1">
      <c r="A73" s="4" t="s">
        <v>56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ht="13.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ht="13.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13.15" customHeight="1">
      <c r="A76" s="4" t="s">
        <v>57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ht="13.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ht="13.15" customHeight="1">
      <c r="A78" s="4" t="s">
        <v>58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ht="13.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ht="13.15" customHeight="1">
      <c r="A80" s="4" t="s">
        <v>59</v>
      </c>
      <c r="B80" s="5">
        <v>3000</v>
      </c>
      <c r="C80" s="4" t="s">
        <v>60</v>
      </c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ht="13.15" customHeight="1">
      <c r="A81" s="4" t="s">
        <v>61</v>
      </c>
      <c r="B81" s="5">
        <v>6000</v>
      </c>
      <c r="C81" s="4" t="s">
        <v>62</v>
      </c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ht="13.15" customHeight="1">
      <c r="A82" s="4" t="s">
        <v>63</v>
      </c>
      <c r="B82" s="4" t="s">
        <v>64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ht="13.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ht="13.15" customHeight="1">
      <c r="A84" s="4" t="s">
        <v>65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ht="13.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ht="13.15" customHeight="1">
      <c r="A86" s="4" t="s">
        <v>66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ht="13.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ht="13.15" customHeight="1">
      <c r="A88" s="4" t="s">
        <v>67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ht="13.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ht="13.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ht="13.15" customHeight="1">
      <c r="A91" s="4" t="s">
        <v>68</v>
      </c>
      <c r="B91" s="2"/>
      <c r="C91" s="5">
        <v>10000</v>
      </c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ht="13.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ht="13.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ht="13.15" customHeight="1">
      <c r="A94" s="4" t="s">
        <v>69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ht="13.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ht="13.15" customHeight="1">
      <c r="A96" s="4" t="s">
        <v>70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ht="13.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ht="13.15" customHeight="1">
      <c r="A98" s="4" t="s">
        <v>71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ht="13.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ht="13.15" customHeight="1">
      <c r="A100" s="4" t="s">
        <v>72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ht="13.15" customHeight="1">
      <c r="A101" s="4" t="s">
        <v>73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ht="13.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ht="13.15" customHeight="1">
      <c r="A103" s="4" t="s">
        <v>74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ht="13.15" customHeight="1">
      <c r="A104" s="4" t="s">
        <v>75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ht="13.15" customHeight="1">
      <c r="A105" s="4" t="s">
        <v>76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ht="13.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ht="13.15" customHeight="1">
      <c r="A107" s="4" t="s">
        <v>77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ht="13.15" customHeight="1">
      <c r="A108" s="4" t="s">
        <v>78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ht="13.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ht="13.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ht="13.15" customHeight="1">
      <c r="A111" s="4" t="s">
        <v>79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ht="13.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ht="13.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ht="13.15" customHeight="1">
      <c r="A114" s="4" t="s">
        <v>80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ht="13.15" customHeight="1">
      <c r="A115" s="4" t="s">
        <v>81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ht="13.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ht="13.15" customHeight="1">
      <c r="A117" s="4" t="s">
        <v>82</v>
      </c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ht="13.15" customHeight="1">
      <c r="A118" s="4" t="s">
        <v>83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ht="13.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ht="13.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ht="13.15" customHeight="1">
      <c r="A121" s="4" t="s">
        <v>84</v>
      </c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ht="13.15" customHeight="1">
      <c r="A122" s="4" t="s">
        <v>85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ht="13.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ht="13.15" customHeight="1">
      <c r="A124" s="4" t="s">
        <v>86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ht="13.15" customHeight="1">
      <c r="A125" s="4" t="s">
        <v>87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ht="13.15" customHeight="1">
      <c r="A126" s="4" t="s">
        <v>88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ht="13.15" customHeight="1">
      <c r="A127" s="4" t="s">
        <v>89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ht="13.15" customHeight="1">
      <c r="A128" s="5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ht="13.15" customHeight="1">
      <c r="A129" s="4" t="s">
        <v>90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ht="13.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ht="13.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ht="13.15" customHeight="1">
      <c r="A132" s="4" t="s">
        <v>91</v>
      </c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ht="13.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ht="13.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ht="13.15" customHeight="1">
      <c r="A135" s="6" t="s">
        <v>92</v>
      </c>
      <c r="B135" s="4" t="s">
        <v>93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ht="13.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ht="13.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ht="13.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ht="13.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ht="13.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ht="13.15" customHeight="1">
      <c r="A141" s="6" t="s">
        <v>94</v>
      </c>
      <c r="B141" s="5">
        <f>5000*1.196</f>
        <v>5980</v>
      </c>
      <c r="C141" s="4" t="s">
        <v>95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ht="13.15" customHeight="1">
      <c r="A142" s="6" t="s">
        <v>96</v>
      </c>
      <c r="B142" s="5">
        <v>1190</v>
      </c>
      <c r="C142" s="4" t="s">
        <v>95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ht="13.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ht="13.15" customHeight="1">
      <c r="A144" s="6" t="s">
        <v>97</v>
      </c>
      <c r="B144" s="5">
        <v>3500</v>
      </c>
      <c r="C144" s="4" t="s">
        <v>98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ht="13.15" customHeight="1">
      <c r="A145" s="1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ht="13.15" customHeight="1">
      <c r="A146" s="6" t="s">
        <v>99</v>
      </c>
      <c r="B146" s="5">
        <v>2500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ht="13.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ht="13.15" customHeight="1">
      <c r="A148" s="6" t="s">
        <v>100</v>
      </c>
      <c r="B148" s="5">
        <v>4500</v>
      </c>
      <c r="C148" s="4" t="s">
        <v>101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ht="13.15" customHeight="1">
      <c r="A149" s="1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ht="13.15" customHeight="1">
      <c r="A150" s="6" t="s">
        <v>102</v>
      </c>
      <c r="B150" s="5">
        <v>15000</v>
      </c>
      <c r="C150" s="4" t="s">
        <v>101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</row>
  </sheetData>
  <pageMargins left="0.78740200000000005" right="0.78740200000000005" top="0.98425200000000002" bottom="0.98425200000000002" header="0.49212600000000001" footer="0.49212600000000001"/>
  <pageSetup orientation="portrait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53"/>
  <sheetViews>
    <sheetView showGridLines="0" tabSelected="1" topLeftCell="A10" zoomScale="85" zoomScaleNormal="85" workbookViewId="0">
      <selection activeCell="B38" sqref="B38"/>
    </sheetView>
  </sheetViews>
  <sheetFormatPr baseColWidth="10" defaultColWidth="10.85546875" defaultRowHeight="13.15" customHeight="1"/>
  <cols>
    <col min="1" max="1" width="25.7109375" style="12" customWidth="1"/>
    <col min="2" max="2" width="12" style="12" customWidth="1"/>
    <col min="3" max="256" width="10.85546875" style="12" customWidth="1"/>
  </cols>
  <sheetData>
    <row r="1" spans="1:14" ht="13.15" customHeight="1">
      <c r="A1" s="2"/>
      <c r="B1" s="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3.15" customHeight="1">
      <c r="A2" s="2"/>
      <c r="B2" s="7" t="s">
        <v>14</v>
      </c>
      <c r="C2" s="14" t="s">
        <v>15</v>
      </c>
      <c r="D2" s="14" t="s">
        <v>16</v>
      </c>
      <c r="E2" s="14" t="s">
        <v>17</v>
      </c>
      <c r="F2" s="14" t="s">
        <v>18</v>
      </c>
      <c r="G2" s="14" t="s">
        <v>19</v>
      </c>
      <c r="H2" s="14" t="s">
        <v>20</v>
      </c>
      <c r="I2" s="14" t="s">
        <v>21</v>
      </c>
      <c r="J2" s="14" t="s">
        <v>22</v>
      </c>
      <c r="K2" s="14" t="s">
        <v>23</v>
      </c>
      <c r="L2" s="14" t="s">
        <v>24</v>
      </c>
      <c r="M2" s="14" t="s">
        <v>25</v>
      </c>
      <c r="N2" s="14" t="s">
        <v>103</v>
      </c>
    </row>
    <row r="3" spans="1:14" ht="13.15" customHeight="1">
      <c r="A3" s="6" t="s">
        <v>104</v>
      </c>
      <c r="B3" s="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3"/>
    </row>
    <row r="4" spans="1:14" ht="13.15" customHeight="1">
      <c r="A4" s="2"/>
      <c r="B4" s="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3"/>
    </row>
    <row r="5" spans="1:14" ht="13.15" customHeight="1">
      <c r="A5" s="4" t="s">
        <v>105</v>
      </c>
      <c r="B5" s="5">
        <f>sujet!B32*sujet!$B39+sujet!B33*sujet!$B40+sujet!B34*sujet!$B41</f>
        <v>13400</v>
      </c>
      <c r="C5" s="15">
        <f>sujet!C32*sujet!$B39+sujet!C33*sujet!$B40+sujet!C34*sujet!$B41</f>
        <v>24600</v>
      </c>
      <c r="D5" s="15">
        <f>sujet!D32*sujet!$B39+sujet!D33*sujet!$B40+sujet!D34*sujet!$B41</f>
        <v>26670</v>
      </c>
      <c r="E5" s="15">
        <f>sujet!E32*sujet!$B39+sujet!E33*sujet!$B40+sujet!E34*sujet!$B41</f>
        <v>29170</v>
      </c>
      <c r="F5" s="15">
        <f>sujet!F32*sujet!$B39+sujet!F33*sujet!$B40+sujet!F34*sujet!$B41</f>
        <v>34450</v>
      </c>
      <c r="G5" s="15">
        <f>sujet!G32*sujet!$B39+sujet!G33*sujet!$B40+sujet!G34*sujet!$B41</f>
        <v>36400</v>
      </c>
      <c r="H5" s="15">
        <f>sujet!H32*sujet!$C39+sujet!H33*sujet!$C40+sujet!H34*sujet!$C41</f>
        <v>27030</v>
      </c>
      <c r="I5" s="15">
        <f>sujet!I32*sujet!$C39+sujet!I33*sujet!$C40+sujet!I34*sujet!$C41</f>
        <v>26400</v>
      </c>
      <c r="J5" s="15">
        <f>sujet!J32*sujet!$C39+sujet!J33*sujet!$C40+sujet!J34*sujet!$C41</f>
        <v>36690</v>
      </c>
      <c r="K5" s="15">
        <f>sujet!K32*sujet!$C39+sujet!K33*sujet!$C40+sujet!K34*sujet!$C41</f>
        <v>40080</v>
      </c>
      <c r="L5" s="15">
        <f>sujet!L32*sujet!$C39+sujet!L33*sujet!$C40+sujet!L34*sujet!$C41</f>
        <v>31050</v>
      </c>
      <c r="M5" s="15">
        <f>sujet!M32*sujet!$C39+sujet!M33*sujet!$C40+sujet!M34*sujet!$C41</f>
        <v>43350</v>
      </c>
      <c r="N5" s="15">
        <f>SUM(B5:M5)</f>
        <v>369290</v>
      </c>
    </row>
    <row r="6" spans="1:14" ht="13.15" customHeight="1">
      <c r="A6" s="2"/>
      <c r="B6" s="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3"/>
    </row>
    <row r="7" spans="1:14" ht="13.15" customHeight="1">
      <c r="A7" s="4" t="s">
        <v>106</v>
      </c>
      <c r="B7" s="5">
        <f>sujet!B47*sujet!$B51</f>
        <v>14400</v>
      </c>
      <c r="C7" s="15">
        <f>sujet!C47*sujet!$B51</f>
        <v>16000</v>
      </c>
      <c r="D7" s="15">
        <f>sujet!D47*sujet!$B51</f>
        <v>11200</v>
      </c>
      <c r="E7" s="15">
        <f>sujet!E47*sujet!$C51</f>
        <v>18900</v>
      </c>
      <c r="F7" s="15">
        <f>sujet!F47*sujet!$C51</f>
        <v>21000</v>
      </c>
      <c r="G7" s="15">
        <f>sujet!G47*sujet!$C51</f>
        <v>25200</v>
      </c>
      <c r="H7" s="15">
        <f>sujet!H47*sujet!$D51</f>
        <v>45000</v>
      </c>
      <c r="I7" s="15">
        <f>sujet!I47*sujet!$D51</f>
        <v>63000</v>
      </c>
      <c r="J7" s="15">
        <f>sujet!J47*sujet!$D51</f>
        <v>57600</v>
      </c>
      <c r="K7" s="15">
        <f>sujet!K47*sujet!$E51</f>
        <v>76500</v>
      </c>
      <c r="L7" s="15">
        <f>sujet!L47*sujet!$E51</f>
        <v>79900</v>
      </c>
      <c r="M7" s="15">
        <f>sujet!M47*sujet!$E51</f>
        <v>88400</v>
      </c>
      <c r="N7" s="15">
        <f>SUM(B7:M7)</f>
        <v>517100</v>
      </c>
    </row>
    <row r="8" spans="1:14" ht="13.15" customHeight="1">
      <c r="A8" s="2"/>
      <c r="B8" s="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3"/>
    </row>
    <row r="9" spans="1:14" ht="13.15" customHeight="1">
      <c r="A9" s="2"/>
      <c r="B9" s="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3"/>
    </row>
    <row r="10" spans="1:14" ht="13.15" customHeight="1">
      <c r="A10" s="4" t="s">
        <v>107</v>
      </c>
      <c r="B10" s="5">
        <f t="shared" ref="B10:M10" si="0">SUM(B5:B7)</f>
        <v>27800</v>
      </c>
      <c r="C10" s="15">
        <f t="shared" si="0"/>
        <v>40600</v>
      </c>
      <c r="D10" s="15">
        <f t="shared" si="0"/>
        <v>37870</v>
      </c>
      <c r="E10" s="15">
        <f t="shared" si="0"/>
        <v>48070</v>
      </c>
      <c r="F10" s="15">
        <f t="shared" si="0"/>
        <v>55450</v>
      </c>
      <c r="G10" s="15">
        <f t="shared" si="0"/>
        <v>61600</v>
      </c>
      <c r="H10" s="15">
        <f t="shared" si="0"/>
        <v>72030</v>
      </c>
      <c r="I10" s="15">
        <f t="shared" si="0"/>
        <v>89400</v>
      </c>
      <c r="J10" s="15">
        <f t="shared" si="0"/>
        <v>94290</v>
      </c>
      <c r="K10" s="15">
        <f t="shared" si="0"/>
        <v>116580</v>
      </c>
      <c r="L10" s="15">
        <f t="shared" si="0"/>
        <v>110950</v>
      </c>
      <c r="M10" s="15">
        <f t="shared" si="0"/>
        <v>131750</v>
      </c>
      <c r="N10" s="15">
        <f>SUM(B10:M10)</f>
        <v>886390</v>
      </c>
    </row>
    <row r="11" spans="1:14" ht="13.15" customHeight="1">
      <c r="A11" s="2"/>
      <c r="B11" s="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3"/>
    </row>
    <row r="12" spans="1:14" ht="13.15" customHeight="1">
      <c r="A12" s="4" t="s">
        <v>108</v>
      </c>
      <c r="B12" s="5">
        <f t="shared" ref="B12:M12" si="1">B5*0.45</f>
        <v>6030</v>
      </c>
      <c r="C12" s="15">
        <f t="shared" si="1"/>
        <v>11070</v>
      </c>
      <c r="D12" s="15">
        <f t="shared" si="1"/>
        <v>12001.5</v>
      </c>
      <c r="E12" s="15">
        <f t="shared" si="1"/>
        <v>13126.5</v>
      </c>
      <c r="F12" s="15">
        <f t="shared" si="1"/>
        <v>15502.5</v>
      </c>
      <c r="G12" s="15">
        <f t="shared" si="1"/>
        <v>16380</v>
      </c>
      <c r="H12" s="15">
        <f t="shared" si="1"/>
        <v>12163.5</v>
      </c>
      <c r="I12" s="15">
        <f t="shared" si="1"/>
        <v>11880</v>
      </c>
      <c r="J12" s="15">
        <f t="shared" si="1"/>
        <v>16510.5</v>
      </c>
      <c r="K12" s="15">
        <f t="shared" si="1"/>
        <v>18036</v>
      </c>
      <c r="L12" s="15">
        <f t="shared" si="1"/>
        <v>13972.5</v>
      </c>
      <c r="M12" s="15">
        <f t="shared" si="1"/>
        <v>19507.5</v>
      </c>
      <c r="N12" s="15">
        <f>SUM(B12:M12)</f>
        <v>166180.5</v>
      </c>
    </row>
    <row r="13" spans="1:14" ht="13.15" customHeight="1">
      <c r="A13" s="2"/>
      <c r="B13" s="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3"/>
    </row>
    <row r="14" spans="1:14" ht="13.15" customHeight="1">
      <c r="A14" s="4" t="s">
        <v>45</v>
      </c>
      <c r="B14" s="5">
        <f t="shared" ref="B14:M14" si="2">sujet!$B64/3</f>
        <v>6666.666666666667</v>
      </c>
      <c r="C14" s="15">
        <f t="shared" si="2"/>
        <v>6666.666666666667</v>
      </c>
      <c r="D14" s="15">
        <f t="shared" si="2"/>
        <v>6666.666666666667</v>
      </c>
      <c r="E14" s="15">
        <f t="shared" si="2"/>
        <v>6666.666666666667</v>
      </c>
      <c r="F14" s="15">
        <f t="shared" si="2"/>
        <v>6666.666666666667</v>
      </c>
      <c r="G14" s="15">
        <f t="shared" si="2"/>
        <v>6666.666666666667</v>
      </c>
      <c r="H14" s="15">
        <f t="shared" si="2"/>
        <v>6666.666666666667</v>
      </c>
      <c r="I14" s="15">
        <f t="shared" si="2"/>
        <v>6666.666666666667</v>
      </c>
      <c r="J14" s="15">
        <f t="shared" si="2"/>
        <v>6666.666666666667</v>
      </c>
      <c r="K14" s="15">
        <f t="shared" si="2"/>
        <v>6666.666666666667</v>
      </c>
      <c r="L14" s="15">
        <f t="shared" si="2"/>
        <v>6666.666666666667</v>
      </c>
      <c r="M14" s="15">
        <f t="shared" si="2"/>
        <v>6666.666666666667</v>
      </c>
      <c r="N14" s="15">
        <f t="shared" ref="N14:N21" si="3">SUM(B14:M14)</f>
        <v>80000</v>
      </c>
    </row>
    <row r="15" spans="1:14" ht="13.15" customHeight="1">
      <c r="A15" s="4" t="s">
        <v>47</v>
      </c>
      <c r="B15" s="5">
        <f>sujet!$B65/3</f>
        <v>1000</v>
      </c>
      <c r="C15" s="15">
        <f>sujet!$B65/3</f>
        <v>1000</v>
      </c>
      <c r="D15" s="15">
        <f>sujet!$B65/3</f>
        <v>1000</v>
      </c>
      <c r="E15" s="15">
        <f>sujet!$B65/3</f>
        <v>1000</v>
      </c>
      <c r="F15" s="15">
        <f>sujet!$B65/3</f>
        <v>1000</v>
      </c>
      <c r="G15" s="15">
        <f>sujet!$B65/3</f>
        <v>1000</v>
      </c>
      <c r="H15" s="15">
        <f>sujet!$B65/3</f>
        <v>1000</v>
      </c>
      <c r="I15" s="15">
        <f>sujet!$B65/3</f>
        <v>1000</v>
      </c>
      <c r="J15" s="15">
        <f>sujet!$B65/3</f>
        <v>1000</v>
      </c>
      <c r="K15" s="15">
        <f>sujet!$B65/3</f>
        <v>1000</v>
      </c>
      <c r="L15" s="15">
        <f>sujet!$B65/3</f>
        <v>1000</v>
      </c>
      <c r="M15" s="15">
        <f>sujet!$B65/3</f>
        <v>1000</v>
      </c>
      <c r="N15" s="15">
        <f t="shared" si="3"/>
        <v>12000</v>
      </c>
    </row>
    <row r="16" spans="1:14" ht="13.15" customHeight="1">
      <c r="A16" s="4" t="s">
        <v>48</v>
      </c>
      <c r="B16" s="5">
        <f>sujet!$B66/3</f>
        <v>333.33333333333331</v>
      </c>
      <c r="C16" s="15">
        <f>sujet!$B66/3</f>
        <v>333.33333333333331</v>
      </c>
      <c r="D16" s="15">
        <f>sujet!$B66/3</f>
        <v>333.33333333333331</v>
      </c>
      <c r="E16" s="15">
        <f>sujet!$B66/3</f>
        <v>333.33333333333331</v>
      </c>
      <c r="F16" s="15">
        <f>sujet!$B66/3</f>
        <v>333.33333333333331</v>
      </c>
      <c r="G16" s="15">
        <f>sujet!$B66/3</f>
        <v>333.33333333333331</v>
      </c>
      <c r="H16" s="15">
        <f>sujet!$B66/3</f>
        <v>333.33333333333331</v>
      </c>
      <c r="I16" s="15">
        <f>sujet!$B66/3</f>
        <v>333.33333333333331</v>
      </c>
      <c r="J16" s="15">
        <f>sujet!$B66/3</f>
        <v>333.33333333333331</v>
      </c>
      <c r="K16" s="15">
        <f>sujet!$B66/3</f>
        <v>333.33333333333331</v>
      </c>
      <c r="L16" s="15">
        <f>sujet!$B66/3</f>
        <v>333.33333333333331</v>
      </c>
      <c r="M16" s="15">
        <f>sujet!$B66/3</f>
        <v>333.33333333333331</v>
      </c>
      <c r="N16" s="15">
        <f t="shared" si="3"/>
        <v>4000.0000000000005</v>
      </c>
    </row>
    <row r="17" spans="1:14" ht="13.15" customHeight="1">
      <c r="A17" s="4" t="s">
        <v>49</v>
      </c>
      <c r="B17" s="5">
        <f>sujet!$B67/3</f>
        <v>1333.3333333333333</v>
      </c>
      <c r="C17" s="15">
        <f>sujet!$B67/3</f>
        <v>1333.3333333333333</v>
      </c>
      <c r="D17" s="15">
        <f>sujet!$B67/3</f>
        <v>1333.3333333333333</v>
      </c>
      <c r="E17" s="15">
        <f>sujet!$B67/3</f>
        <v>1333.3333333333333</v>
      </c>
      <c r="F17" s="15">
        <f>sujet!$B67/3</f>
        <v>1333.3333333333333</v>
      </c>
      <c r="G17" s="15">
        <f>sujet!$B67/3</f>
        <v>1333.3333333333333</v>
      </c>
      <c r="H17" s="15">
        <f>sujet!$B67/3</f>
        <v>1333.3333333333333</v>
      </c>
      <c r="I17" s="15">
        <f>sujet!$B67/3</f>
        <v>1333.3333333333333</v>
      </c>
      <c r="J17" s="15">
        <f>sujet!$B67/3</f>
        <v>1333.3333333333333</v>
      </c>
      <c r="K17" s="15">
        <f>sujet!$B67/3</f>
        <v>1333.3333333333333</v>
      </c>
      <c r="L17" s="15">
        <f>sujet!$B67/3</f>
        <v>1333.3333333333333</v>
      </c>
      <c r="M17" s="15">
        <f>sujet!$B67/3</f>
        <v>1333.3333333333333</v>
      </c>
      <c r="N17" s="15">
        <f t="shared" si="3"/>
        <v>16000.000000000002</v>
      </c>
    </row>
    <row r="18" spans="1:14" ht="13.15" customHeight="1">
      <c r="A18" s="4" t="s">
        <v>50</v>
      </c>
      <c r="B18" s="5">
        <f t="shared" ref="B18:M18" si="4">B10*0.04</f>
        <v>1112</v>
      </c>
      <c r="C18" s="15">
        <f t="shared" si="4"/>
        <v>1624</v>
      </c>
      <c r="D18" s="15">
        <f t="shared" si="4"/>
        <v>1514.8</v>
      </c>
      <c r="E18" s="15">
        <f t="shared" si="4"/>
        <v>1922.8</v>
      </c>
      <c r="F18" s="15">
        <f t="shared" si="4"/>
        <v>2218</v>
      </c>
      <c r="G18" s="15">
        <f t="shared" si="4"/>
        <v>2464</v>
      </c>
      <c r="H18" s="15">
        <f t="shared" si="4"/>
        <v>2881.2000000000003</v>
      </c>
      <c r="I18" s="15">
        <f t="shared" si="4"/>
        <v>3576</v>
      </c>
      <c r="J18" s="15">
        <f t="shared" si="4"/>
        <v>3771.6</v>
      </c>
      <c r="K18" s="15">
        <f t="shared" si="4"/>
        <v>4663.2</v>
      </c>
      <c r="L18" s="15">
        <f t="shared" si="4"/>
        <v>4438</v>
      </c>
      <c r="M18" s="15">
        <f t="shared" si="4"/>
        <v>5270</v>
      </c>
      <c r="N18" s="15">
        <f t="shared" si="3"/>
        <v>35455.600000000006</v>
      </c>
    </row>
    <row r="19" spans="1:14" ht="13.15" customHeight="1">
      <c r="A19" s="4" t="s">
        <v>52</v>
      </c>
      <c r="B19" s="5">
        <f t="shared" ref="B19:M19" si="5">B10*0.01</f>
        <v>278</v>
      </c>
      <c r="C19" s="15">
        <f t="shared" si="5"/>
        <v>406</v>
      </c>
      <c r="D19" s="15">
        <f t="shared" si="5"/>
        <v>378.7</v>
      </c>
      <c r="E19" s="15">
        <f t="shared" si="5"/>
        <v>480.7</v>
      </c>
      <c r="F19" s="15">
        <f t="shared" si="5"/>
        <v>554.5</v>
      </c>
      <c r="G19" s="15">
        <f t="shared" si="5"/>
        <v>616</v>
      </c>
      <c r="H19" s="15">
        <f t="shared" si="5"/>
        <v>720.30000000000007</v>
      </c>
      <c r="I19" s="15">
        <f t="shared" si="5"/>
        <v>894</v>
      </c>
      <c r="J19" s="15">
        <f t="shared" si="5"/>
        <v>942.9</v>
      </c>
      <c r="K19" s="15">
        <f t="shared" si="5"/>
        <v>1165.8</v>
      </c>
      <c r="L19" s="15">
        <f t="shared" si="5"/>
        <v>1109.5</v>
      </c>
      <c r="M19" s="15">
        <f t="shared" si="5"/>
        <v>1317.5</v>
      </c>
      <c r="N19" s="15">
        <f t="shared" si="3"/>
        <v>8863.9000000000015</v>
      </c>
    </row>
    <row r="20" spans="1:14" ht="13.15" customHeight="1">
      <c r="A20" s="4" t="s">
        <v>54</v>
      </c>
      <c r="B20" s="5">
        <f>sujet!$B70/3</f>
        <v>1000</v>
      </c>
      <c r="C20" s="15">
        <f>sujet!$B70/3</f>
        <v>1000</v>
      </c>
      <c r="D20" s="15">
        <f>sujet!$B70/3</f>
        <v>1000</v>
      </c>
      <c r="E20" s="15">
        <f>sujet!$B70/3</f>
        <v>1000</v>
      </c>
      <c r="F20" s="15">
        <f>sujet!$B70/3</f>
        <v>1000</v>
      </c>
      <c r="G20" s="15">
        <f>sujet!$B70/3</f>
        <v>1000</v>
      </c>
      <c r="H20" s="15">
        <f>sujet!$B70/3</f>
        <v>1000</v>
      </c>
      <c r="I20" s="15">
        <f>sujet!$B70/3</f>
        <v>1000</v>
      </c>
      <c r="J20" s="15">
        <f>sujet!$B70/3</f>
        <v>1000</v>
      </c>
      <c r="K20" s="15">
        <f>sujet!$B70/3</f>
        <v>1000</v>
      </c>
      <c r="L20" s="15">
        <f>sujet!$B70/3</f>
        <v>1000</v>
      </c>
      <c r="M20" s="15">
        <f>sujet!$B70/3</f>
        <v>1000</v>
      </c>
      <c r="N20" s="15">
        <f t="shared" si="3"/>
        <v>12000</v>
      </c>
    </row>
    <row r="21" spans="1:14" ht="13.15" customHeight="1">
      <c r="A21" s="4" t="s">
        <v>55</v>
      </c>
      <c r="B21" s="5">
        <f>sujet!$B71/3</f>
        <v>1333.3333333333333</v>
      </c>
      <c r="C21" s="15">
        <f>sujet!$B71/3</f>
        <v>1333.3333333333333</v>
      </c>
      <c r="D21" s="15">
        <f>sujet!$B71/3</f>
        <v>1333.3333333333333</v>
      </c>
      <c r="E21" s="15">
        <f>sujet!$B71/3</f>
        <v>1333.3333333333333</v>
      </c>
      <c r="F21" s="15">
        <f>sujet!$B71/3</f>
        <v>1333.3333333333333</v>
      </c>
      <c r="G21" s="15">
        <f>sujet!$B71/3</f>
        <v>1333.3333333333333</v>
      </c>
      <c r="H21" s="15">
        <f>sujet!$B71/3</f>
        <v>1333.3333333333333</v>
      </c>
      <c r="I21" s="15">
        <f>sujet!$B71/3</f>
        <v>1333.3333333333333</v>
      </c>
      <c r="J21" s="15">
        <f>sujet!$B71/3</f>
        <v>1333.3333333333333</v>
      </c>
      <c r="K21" s="15">
        <f>sujet!$B71/3</f>
        <v>1333.3333333333333</v>
      </c>
      <c r="L21" s="15">
        <f>sujet!$B71/3</f>
        <v>1333.3333333333333</v>
      </c>
      <c r="M21" s="15">
        <f>sujet!$B71/3</f>
        <v>1333.3333333333333</v>
      </c>
      <c r="N21" s="15">
        <f t="shared" si="3"/>
        <v>16000.000000000002</v>
      </c>
    </row>
    <row r="22" spans="1:14" ht="13.15" customHeight="1">
      <c r="A22" s="2"/>
      <c r="B22" s="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3"/>
    </row>
    <row r="23" spans="1:14" ht="13.15" customHeight="1">
      <c r="A23" s="2"/>
      <c r="B23" s="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3"/>
    </row>
    <row r="24" spans="1:14" ht="13.15" customHeight="1">
      <c r="A24" s="4" t="s">
        <v>109</v>
      </c>
      <c r="B24" s="5">
        <f t="shared" ref="B24:G24" si="6">sujet!$B$80</f>
        <v>3000</v>
      </c>
      <c r="C24" s="15">
        <f t="shared" si="6"/>
        <v>3000</v>
      </c>
      <c r="D24" s="15">
        <f t="shared" si="6"/>
        <v>3000</v>
      </c>
      <c r="E24" s="15">
        <f t="shared" si="6"/>
        <v>3000</v>
      </c>
      <c r="F24" s="15">
        <f t="shared" si="6"/>
        <v>3000</v>
      </c>
      <c r="G24" s="15">
        <f t="shared" si="6"/>
        <v>3000</v>
      </c>
      <c r="H24" s="15">
        <v>5000</v>
      </c>
      <c r="I24" s="15">
        <v>5000</v>
      </c>
      <c r="J24" s="15">
        <v>5000</v>
      </c>
      <c r="K24" s="15">
        <v>5000</v>
      </c>
      <c r="L24" s="15">
        <v>5000</v>
      </c>
      <c r="M24" s="15">
        <v>5000</v>
      </c>
      <c r="N24" s="15">
        <f>SUM(B24:M24)</f>
        <v>48000</v>
      </c>
    </row>
    <row r="25" spans="1:14" ht="13.15" customHeight="1">
      <c r="A25" s="4" t="s">
        <v>110</v>
      </c>
      <c r="B25" s="5">
        <v>6000</v>
      </c>
      <c r="C25" s="15">
        <v>6000</v>
      </c>
      <c r="D25" s="15">
        <v>6000</v>
      </c>
      <c r="E25" s="15">
        <v>6000</v>
      </c>
      <c r="F25" s="15">
        <v>6000</v>
      </c>
      <c r="G25" s="15">
        <v>6000</v>
      </c>
      <c r="H25" s="15">
        <v>6000</v>
      </c>
      <c r="I25" s="15">
        <v>6000</v>
      </c>
      <c r="J25" s="15">
        <v>8000</v>
      </c>
      <c r="K25" s="15">
        <v>8000</v>
      </c>
      <c r="L25" s="15">
        <v>8000</v>
      </c>
      <c r="M25" s="15">
        <v>8000</v>
      </c>
      <c r="N25" s="15">
        <f>SUM(B25:M25)</f>
        <v>80000</v>
      </c>
    </row>
    <row r="26" spans="1:14" ht="13.15" customHeight="1">
      <c r="A26" s="4" t="s">
        <v>111</v>
      </c>
      <c r="B26" s="5">
        <f t="shared" ref="B26:M26" si="7">IF(B7*0.2&gt;5000,B7*0.2,5000)</f>
        <v>5000</v>
      </c>
      <c r="C26" s="15">
        <f t="shared" si="7"/>
        <v>5000</v>
      </c>
      <c r="D26" s="15">
        <f t="shared" si="7"/>
        <v>5000</v>
      </c>
      <c r="E26" s="15">
        <f t="shared" si="7"/>
        <v>5000</v>
      </c>
      <c r="F26" s="15">
        <f t="shared" si="7"/>
        <v>5000</v>
      </c>
      <c r="G26" s="15">
        <f t="shared" si="7"/>
        <v>5040</v>
      </c>
      <c r="H26" s="15">
        <f t="shared" si="7"/>
        <v>9000</v>
      </c>
      <c r="I26" s="15">
        <f t="shared" si="7"/>
        <v>12600</v>
      </c>
      <c r="J26" s="15">
        <f t="shared" si="7"/>
        <v>11520</v>
      </c>
      <c r="K26" s="15">
        <f t="shared" si="7"/>
        <v>15300</v>
      </c>
      <c r="L26" s="15">
        <f t="shared" si="7"/>
        <v>15980</v>
      </c>
      <c r="M26" s="15">
        <f t="shared" si="7"/>
        <v>17680</v>
      </c>
      <c r="N26" s="15">
        <f>SUM(B26:M26)</f>
        <v>112120</v>
      </c>
    </row>
    <row r="27" spans="1:14" ht="13.15" customHeight="1">
      <c r="A27" s="2"/>
      <c r="B27" s="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3"/>
    </row>
    <row r="28" spans="1:14" ht="13.15" customHeight="1">
      <c r="A28" s="4" t="s">
        <v>112</v>
      </c>
      <c r="B28" s="5">
        <f t="shared" ref="B28:M28" si="8">SUM(B24:B27)</f>
        <v>14000</v>
      </c>
      <c r="C28" s="15">
        <f t="shared" si="8"/>
        <v>14000</v>
      </c>
      <c r="D28" s="15">
        <f t="shared" si="8"/>
        <v>14000</v>
      </c>
      <c r="E28" s="15">
        <f t="shared" si="8"/>
        <v>14000</v>
      </c>
      <c r="F28" s="15">
        <f t="shared" si="8"/>
        <v>14000</v>
      </c>
      <c r="G28" s="15">
        <f t="shared" si="8"/>
        <v>14040</v>
      </c>
      <c r="H28" s="15">
        <f t="shared" si="8"/>
        <v>20000</v>
      </c>
      <c r="I28" s="15">
        <f t="shared" si="8"/>
        <v>23600</v>
      </c>
      <c r="J28" s="15">
        <f t="shared" si="8"/>
        <v>24520</v>
      </c>
      <c r="K28" s="15">
        <f t="shared" si="8"/>
        <v>28300</v>
      </c>
      <c r="L28" s="15">
        <f t="shared" si="8"/>
        <v>28980</v>
      </c>
      <c r="M28" s="15">
        <f t="shared" si="8"/>
        <v>30680</v>
      </c>
      <c r="N28" s="15">
        <f>SUM(B28:M28)</f>
        <v>240120</v>
      </c>
    </row>
    <row r="29" spans="1:14" ht="13.15" customHeight="1">
      <c r="A29" s="2"/>
      <c r="B29" s="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3"/>
    </row>
    <row r="30" spans="1:14" ht="13.15" customHeight="1">
      <c r="A30" s="4" t="s">
        <v>102</v>
      </c>
      <c r="B30" s="5">
        <f t="shared" ref="B30:M30" si="9">B28*0.42</f>
        <v>5880</v>
      </c>
      <c r="C30" s="15">
        <f t="shared" si="9"/>
        <v>5880</v>
      </c>
      <c r="D30" s="15">
        <f t="shared" si="9"/>
        <v>5880</v>
      </c>
      <c r="E30" s="15">
        <f t="shared" si="9"/>
        <v>5880</v>
      </c>
      <c r="F30" s="15">
        <f t="shared" si="9"/>
        <v>5880</v>
      </c>
      <c r="G30" s="15">
        <f t="shared" si="9"/>
        <v>5896.8</v>
      </c>
      <c r="H30" s="15">
        <f t="shared" si="9"/>
        <v>8400</v>
      </c>
      <c r="I30" s="15">
        <f t="shared" si="9"/>
        <v>9912</v>
      </c>
      <c r="J30" s="15">
        <f t="shared" si="9"/>
        <v>10298.4</v>
      </c>
      <c r="K30" s="15">
        <f t="shared" si="9"/>
        <v>11886</v>
      </c>
      <c r="L30" s="15">
        <f t="shared" si="9"/>
        <v>12171.6</v>
      </c>
      <c r="M30" s="15">
        <f t="shared" si="9"/>
        <v>12885.6</v>
      </c>
      <c r="N30" s="15">
        <f>SUM(B30:M30)</f>
        <v>100850.40000000002</v>
      </c>
    </row>
    <row r="31" spans="1:14" ht="13.15" customHeight="1">
      <c r="A31" s="2"/>
      <c r="B31" s="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3"/>
    </row>
    <row r="32" spans="1:14" ht="13.15" customHeight="1">
      <c r="A32" s="4" t="s">
        <v>68</v>
      </c>
      <c r="B32" s="5">
        <v>833.33333333333337</v>
      </c>
      <c r="C32" s="15">
        <v>833.33333333333337</v>
      </c>
      <c r="D32" s="15">
        <v>833.33333333333337</v>
      </c>
      <c r="E32" s="15">
        <v>833.33333333333337</v>
      </c>
      <c r="F32" s="15">
        <v>833.33333333333337</v>
      </c>
      <c r="G32" s="15">
        <v>833.33333333333337</v>
      </c>
      <c r="H32" s="15">
        <v>833.33333333333337</v>
      </c>
      <c r="I32" s="15">
        <v>833.33333333333337</v>
      </c>
      <c r="J32" s="15">
        <v>833.33333333333337</v>
      </c>
      <c r="K32" s="15">
        <v>833.33333333333337</v>
      </c>
      <c r="L32" s="15">
        <v>833.33333333333337</v>
      </c>
      <c r="M32" s="15">
        <v>833.33333333333337</v>
      </c>
      <c r="N32" s="15">
        <f>SUM(B32:M32)</f>
        <v>10000</v>
      </c>
    </row>
    <row r="33" spans="1:14" ht="13.15" customHeight="1">
      <c r="A33" s="2"/>
      <c r="B33" s="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3"/>
    </row>
    <row r="34" spans="1:14" ht="13.15" customHeight="1">
      <c r="A34" s="4" t="s">
        <v>113</v>
      </c>
      <c r="B34" s="5">
        <v>1000</v>
      </c>
      <c r="C34" s="15">
        <v>1000</v>
      </c>
      <c r="D34" s="15">
        <v>1000</v>
      </c>
      <c r="E34" s="15">
        <v>1000</v>
      </c>
      <c r="F34" s="15">
        <v>1000</v>
      </c>
      <c r="G34" s="15">
        <v>1000</v>
      </c>
      <c r="H34" s="15">
        <v>1000</v>
      </c>
      <c r="I34" s="15">
        <v>1000</v>
      </c>
      <c r="J34" s="15">
        <v>1000</v>
      </c>
      <c r="K34" s="15">
        <v>1000</v>
      </c>
      <c r="L34" s="15">
        <v>1000</v>
      </c>
      <c r="M34" s="15">
        <v>1000</v>
      </c>
      <c r="N34" s="15">
        <f>SUM(B34:M34)</f>
        <v>12000</v>
      </c>
    </row>
    <row r="35" spans="1:14" ht="13.15" customHeight="1">
      <c r="A35" s="4" t="s">
        <v>114</v>
      </c>
      <c r="B35" s="5"/>
      <c r="C35" s="15"/>
      <c r="D35" s="15"/>
      <c r="E35" s="15">
        <f t="shared" ref="E35:M35" si="10">50000*0.04/12</f>
        <v>166.66666666666666</v>
      </c>
      <c r="F35" s="15">
        <f t="shared" si="10"/>
        <v>166.66666666666666</v>
      </c>
      <c r="G35" s="15">
        <f t="shared" si="10"/>
        <v>166.66666666666666</v>
      </c>
      <c r="H35" s="15">
        <f t="shared" si="10"/>
        <v>166.66666666666666</v>
      </c>
      <c r="I35" s="15">
        <f t="shared" si="10"/>
        <v>166.66666666666666</v>
      </c>
      <c r="J35" s="15">
        <f t="shared" si="10"/>
        <v>166.66666666666666</v>
      </c>
      <c r="K35" s="15">
        <f t="shared" si="10"/>
        <v>166.66666666666666</v>
      </c>
      <c r="L35" s="15">
        <f t="shared" si="10"/>
        <v>166.66666666666666</v>
      </c>
      <c r="M35" s="15">
        <f t="shared" si="10"/>
        <v>166.66666666666666</v>
      </c>
      <c r="N35" s="15">
        <f>SUM(B35:M35)</f>
        <v>1500</v>
      </c>
    </row>
    <row r="36" spans="1:14" ht="13.15" customHeight="1">
      <c r="A36" s="2"/>
      <c r="B36" s="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3"/>
    </row>
    <row r="37" spans="1:14" ht="13.15" customHeight="1">
      <c r="A37" s="4" t="s">
        <v>115</v>
      </c>
      <c r="B37" s="5">
        <v>500</v>
      </c>
      <c r="C37" s="15">
        <v>500</v>
      </c>
      <c r="D37" s="15">
        <v>500</v>
      </c>
      <c r="E37" s="15">
        <v>500</v>
      </c>
      <c r="F37" s="15">
        <v>500</v>
      </c>
      <c r="G37" s="15">
        <v>500</v>
      </c>
      <c r="H37" s="15">
        <f t="shared" ref="H37:M37" si="11">500+1167</f>
        <v>1667</v>
      </c>
      <c r="I37" s="15">
        <f t="shared" si="11"/>
        <v>1667</v>
      </c>
      <c r="J37" s="15">
        <f t="shared" si="11"/>
        <v>1667</v>
      </c>
      <c r="K37" s="15">
        <f t="shared" si="11"/>
        <v>1667</v>
      </c>
      <c r="L37" s="15">
        <f t="shared" si="11"/>
        <v>1667</v>
      </c>
      <c r="M37" s="15">
        <f t="shared" si="11"/>
        <v>1667</v>
      </c>
      <c r="N37" s="15">
        <f>SUM(B37:M37)</f>
        <v>13002</v>
      </c>
    </row>
    <row r="38" spans="1:14" ht="13.15" customHeight="1">
      <c r="A38" s="4" t="s">
        <v>116</v>
      </c>
      <c r="B38" s="5">
        <f t="shared" ref="B38:M38" si="12">B7*0.005</f>
        <v>72</v>
      </c>
      <c r="C38" s="15">
        <f t="shared" si="12"/>
        <v>80</v>
      </c>
      <c r="D38" s="15">
        <f t="shared" si="12"/>
        <v>56</v>
      </c>
      <c r="E38" s="15">
        <f t="shared" si="12"/>
        <v>94.5</v>
      </c>
      <c r="F38" s="15">
        <f t="shared" si="12"/>
        <v>105</v>
      </c>
      <c r="G38" s="15">
        <f t="shared" si="12"/>
        <v>126</v>
      </c>
      <c r="H38" s="15">
        <f t="shared" si="12"/>
        <v>225</v>
      </c>
      <c r="I38" s="15">
        <f t="shared" si="12"/>
        <v>315</v>
      </c>
      <c r="J38" s="15">
        <f t="shared" si="12"/>
        <v>288</v>
      </c>
      <c r="K38" s="15">
        <f t="shared" si="12"/>
        <v>382.5</v>
      </c>
      <c r="L38" s="15">
        <f t="shared" si="12"/>
        <v>399.5</v>
      </c>
      <c r="M38" s="15">
        <f t="shared" si="12"/>
        <v>442</v>
      </c>
      <c r="N38" s="15">
        <f>SUM(B38:M38)</f>
        <v>2585.5</v>
      </c>
    </row>
    <row r="39" spans="1:14" ht="13.15" customHeight="1">
      <c r="A39" s="2"/>
      <c r="B39" s="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3"/>
    </row>
    <row r="40" spans="1:14" ht="13.15" customHeight="1">
      <c r="A40" s="4" t="s">
        <v>117</v>
      </c>
      <c r="B40" s="5">
        <f t="shared" ref="B40:N40" si="13">SUM(B12:B38)-B28</f>
        <v>41372.000000000007</v>
      </c>
      <c r="C40" s="15">
        <f t="shared" si="13"/>
        <v>47060</v>
      </c>
      <c r="D40" s="15">
        <f t="shared" si="13"/>
        <v>47831</v>
      </c>
      <c r="E40" s="15">
        <f t="shared" si="13"/>
        <v>49671.166666666664</v>
      </c>
      <c r="F40" s="15">
        <f t="shared" si="13"/>
        <v>52426.666666666672</v>
      </c>
      <c r="G40" s="15">
        <f t="shared" si="13"/>
        <v>53689.466666666674</v>
      </c>
      <c r="H40" s="15">
        <f t="shared" si="13"/>
        <v>59723.666666666657</v>
      </c>
      <c r="I40" s="15">
        <f t="shared" si="13"/>
        <v>65510.666666666657</v>
      </c>
      <c r="J40" s="15">
        <f t="shared" si="13"/>
        <v>71665.066666666651</v>
      </c>
      <c r="K40" s="15">
        <f t="shared" si="13"/>
        <v>79767.166666666672</v>
      </c>
      <c r="L40" s="15">
        <f t="shared" si="13"/>
        <v>76404.766666666663</v>
      </c>
      <c r="M40" s="15">
        <f t="shared" si="13"/>
        <v>85436.266666666663</v>
      </c>
      <c r="N40" s="15">
        <f t="shared" si="13"/>
        <v>730557.9</v>
      </c>
    </row>
    <row r="41" spans="1:14" ht="13.15" customHeight="1">
      <c r="A41" s="2"/>
      <c r="B41" s="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3"/>
    </row>
    <row r="42" spans="1:14" ht="13.15" customHeight="1">
      <c r="A42" s="4" t="s">
        <v>118</v>
      </c>
      <c r="B42" s="5">
        <f t="shared" ref="B42:N42" si="14">B10-B40</f>
        <v>-13572.000000000007</v>
      </c>
      <c r="C42" s="15">
        <f t="shared" si="14"/>
        <v>-6460</v>
      </c>
      <c r="D42" s="15">
        <f t="shared" si="14"/>
        <v>-9961</v>
      </c>
      <c r="E42" s="15">
        <f t="shared" si="14"/>
        <v>-1601.1666666666642</v>
      </c>
      <c r="F42" s="15">
        <f t="shared" si="14"/>
        <v>3023.3333333333285</v>
      </c>
      <c r="G42" s="15">
        <f t="shared" si="14"/>
        <v>7910.5333333333256</v>
      </c>
      <c r="H42" s="15">
        <f t="shared" si="14"/>
        <v>12306.333333333343</v>
      </c>
      <c r="I42" s="15">
        <f t="shared" si="14"/>
        <v>23889.333333333343</v>
      </c>
      <c r="J42" s="15">
        <f t="shared" si="14"/>
        <v>22624.933333333349</v>
      </c>
      <c r="K42" s="15">
        <f t="shared" si="14"/>
        <v>36812.833333333328</v>
      </c>
      <c r="L42" s="15">
        <f t="shared" si="14"/>
        <v>34545.233333333337</v>
      </c>
      <c r="M42" s="15">
        <f t="shared" si="14"/>
        <v>46313.733333333337</v>
      </c>
      <c r="N42" s="15">
        <f t="shared" si="14"/>
        <v>155832.09999999998</v>
      </c>
    </row>
    <row r="43" spans="1:14" ht="13.15" customHeight="1">
      <c r="A43" s="4" t="s">
        <v>119</v>
      </c>
      <c r="B43" s="5">
        <f>B42</f>
        <v>-13572.000000000007</v>
      </c>
      <c r="C43" s="15">
        <f t="shared" ref="C43:M43" si="15">C42+B43</f>
        <v>-20032.000000000007</v>
      </c>
      <c r="D43" s="15">
        <f t="shared" si="15"/>
        <v>-29993.000000000007</v>
      </c>
      <c r="E43" s="15">
        <f t="shared" si="15"/>
        <v>-31594.166666666672</v>
      </c>
      <c r="F43" s="15">
        <f t="shared" si="15"/>
        <v>-28570.833333333343</v>
      </c>
      <c r="G43" s="15">
        <f t="shared" si="15"/>
        <v>-20660.300000000017</v>
      </c>
      <c r="H43" s="15">
        <f t="shared" si="15"/>
        <v>-8353.9666666666744</v>
      </c>
      <c r="I43" s="15">
        <f t="shared" si="15"/>
        <v>15535.366666666669</v>
      </c>
      <c r="J43" s="15">
        <f t="shared" si="15"/>
        <v>38160.300000000017</v>
      </c>
      <c r="K43" s="15">
        <f t="shared" si="15"/>
        <v>74973.133333333346</v>
      </c>
      <c r="L43" s="15">
        <f t="shared" si="15"/>
        <v>109518.36666666668</v>
      </c>
      <c r="M43" s="15">
        <f t="shared" si="15"/>
        <v>155832.10000000003</v>
      </c>
      <c r="N43" s="15"/>
    </row>
    <row r="44" spans="1:14" ht="13.15" customHeight="1">
      <c r="A44" s="2"/>
      <c r="B44" s="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3"/>
    </row>
    <row r="45" spans="1:14" ht="13.15" customHeight="1">
      <c r="A45" s="2"/>
      <c r="B45" s="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3"/>
    </row>
    <row r="46" spans="1:14" ht="13.15" customHeight="1">
      <c r="A46" s="2"/>
      <c r="B46" s="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3"/>
    </row>
    <row r="47" spans="1:14" ht="13.15" customHeight="1">
      <c r="A47" s="2"/>
      <c r="B47" s="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3"/>
    </row>
    <row r="48" spans="1:14" ht="13.15" customHeight="1">
      <c r="A48" s="2"/>
      <c r="B48" s="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3"/>
    </row>
    <row r="49" spans="1:14" ht="13.15" customHeight="1">
      <c r="A49" s="2"/>
      <c r="B49" s="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3"/>
    </row>
    <row r="50" spans="1:14" ht="13.15" customHeight="1">
      <c r="A50" s="2"/>
      <c r="B50" s="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3"/>
    </row>
    <row r="51" spans="1:14" ht="13.15" customHeight="1">
      <c r="A51" s="2"/>
      <c r="B51" s="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3"/>
    </row>
    <row r="52" spans="1:14" ht="13.15" customHeight="1">
      <c r="A52" s="2"/>
      <c r="B52" s="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3"/>
    </row>
    <row r="53" spans="1:14" ht="13.15" customHeight="1">
      <c r="A53" s="2"/>
      <c r="B53" s="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3"/>
    </row>
  </sheetData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V47"/>
  <sheetViews>
    <sheetView showGridLines="0" topLeftCell="A9" zoomScale="70" zoomScaleNormal="70" workbookViewId="0">
      <selection activeCell="B42" sqref="B42"/>
    </sheetView>
  </sheetViews>
  <sheetFormatPr baseColWidth="10" defaultColWidth="10.85546875" defaultRowHeight="13.15" customHeight="1"/>
  <cols>
    <col min="1" max="1" width="29.42578125" style="16" customWidth="1"/>
    <col min="2" max="13" width="11.42578125" style="16" customWidth="1"/>
    <col min="14" max="14" width="12" style="16" customWidth="1"/>
    <col min="15" max="256" width="10.85546875" style="16" customWidth="1"/>
  </cols>
  <sheetData>
    <row r="1" spans="1:14" ht="13.15" customHeight="1">
      <c r="A1" s="2"/>
      <c r="B1" s="7" t="s">
        <v>14</v>
      </c>
      <c r="C1" s="7" t="s">
        <v>15</v>
      </c>
      <c r="D1" s="7" t="s">
        <v>16</v>
      </c>
      <c r="E1" s="7" t="s">
        <v>17</v>
      </c>
      <c r="F1" s="7" t="s">
        <v>18</v>
      </c>
      <c r="G1" s="7" t="s">
        <v>19</v>
      </c>
      <c r="H1" s="7" t="s">
        <v>20</v>
      </c>
      <c r="I1" s="7" t="s">
        <v>21</v>
      </c>
      <c r="J1" s="7" t="s">
        <v>22</v>
      </c>
      <c r="K1" s="7" t="s">
        <v>23</v>
      </c>
      <c r="L1" s="7" t="s">
        <v>24</v>
      </c>
      <c r="M1" s="7" t="s">
        <v>25</v>
      </c>
      <c r="N1" s="7" t="s">
        <v>103</v>
      </c>
    </row>
    <row r="2" spans="1:14" ht="13.15" customHeight="1">
      <c r="A2" s="2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ht="13.15" customHeight="1">
      <c r="A3" s="18" t="s">
        <v>120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3.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3.15" customHeight="1">
      <c r="A5" s="4" t="s">
        <v>121</v>
      </c>
      <c r="B5" s="5">
        <f>'Compte de résultat'!B5/2*1.055+sujet!B141</f>
        <v>13048.5</v>
      </c>
      <c r="C5" s="5">
        <f>('Compte de résultat'!B5+'Compte de résultat'!C5)/2*1.055</f>
        <v>20045</v>
      </c>
      <c r="D5" s="5">
        <f>('Compte de résultat'!C5+'Compte de résultat'!D5)/2*1.055</f>
        <v>27044.924999999999</v>
      </c>
      <c r="E5" s="5">
        <f>('Compte de résultat'!D5+'Compte de résultat'!E5)/2*1.055</f>
        <v>29455.599999999999</v>
      </c>
      <c r="F5" s="5">
        <f>('Compte de résultat'!E5+'Compte de résultat'!F5)/2*1.055</f>
        <v>33559.549999999996</v>
      </c>
      <c r="G5" s="5">
        <f>('Compte de résultat'!F5+'Compte de résultat'!G5)/2*1.055</f>
        <v>37373.375</v>
      </c>
      <c r="H5" s="5">
        <f>('Compte de résultat'!G5+'Compte de résultat'!H5)/2*1.055</f>
        <v>33459.324999999997</v>
      </c>
      <c r="I5" s="5">
        <f>('Compte de résultat'!H5+'Compte de résultat'!I5)/2*1.055</f>
        <v>28184.324999999997</v>
      </c>
      <c r="J5" s="5">
        <f>('Compte de résultat'!I5+'Compte de résultat'!J5)/2*1.055</f>
        <v>33279.974999999999</v>
      </c>
      <c r="K5" s="5">
        <f>('Compte de résultat'!J5+'Compte de résultat'!K5)/2*1.055</f>
        <v>40496.174999999996</v>
      </c>
      <c r="L5" s="5">
        <f>('Compte de résultat'!K5+'Compte de résultat'!L5)/2*1.055</f>
        <v>37521.074999999997</v>
      </c>
      <c r="M5" s="5">
        <f>('Compte de résultat'!L5+'Compte de résultat'!M5)/2*1.055</f>
        <v>39246</v>
      </c>
      <c r="N5" s="5">
        <f>SUM(B5:M5)</f>
        <v>372713.82500000001</v>
      </c>
    </row>
    <row r="6" spans="1:14" ht="13.1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3.15" customHeight="1">
      <c r="A7" s="4" t="s">
        <v>122</v>
      </c>
      <c r="B7" s="5">
        <f>'Compte de résultat'!B7*1.2+sujet!B142</f>
        <v>18470</v>
      </c>
      <c r="C7" s="5">
        <f>'Compte de résultat'!C7*1.2</f>
        <v>19200</v>
      </c>
      <c r="D7" s="5">
        <f>'Compte de résultat'!D7*1.2</f>
        <v>13440</v>
      </c>
      <c r="E7" s="5">
        <f>'Compte de résultat'!E7*1.2</f>
        <v>22680</v>
      </c>
      <c r="F7" s="5">
        <f>'Compte de résultat'!F7*1.2</f>
        <v>25200</v>
      </c>
      <c r="G7" s="5">
        <f>'Compte de résultat'!G7*1.2</f>
        <v>30240</v>
      </c>
      <c r="H7" s="5">
        <f>'Compte de résultat'!H7*1.2</f>
        <v>54000</v>
      </c>
      <c r="I7" s="5">
        <f>'Compte de résultat'!I7*1.2</f>
        <v>75600</v>
      </c>
      <c r="J7" s="5">
        <f>'Compte de résultat'!J7*1.2</f>
        <v>69120</v>
      </c>
      <c r="K7" s="5">
        <f>'Compte de résultat'!K7*1.2</f>
        <v>91800</v>
      </c>
      <c r="L7" s="5">
        <f>'Compte de résultat'!L7*1.2</f>
        <v>95880</v>
      </c>
      <c r="M7" s="5">
        <f>'Compte de résultat'!M7*1.2</f>
        <v>106080</v>
      </c>
      <c r="N7" s="5">
        <f>SUM(B7:M7)</f>
        <v>621710</v>
      </c>
    </row>
    <row r="8" spans="1:14" ht="13.1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3.15" customHeight="1">
      <c r="A9" s="4" t="s">
        <v>123</v>
      </c>
      <c r="B9" s="2"/>
      <c r="C9" s="2"/>
      <c r="D9" s="2"/>
      <c r="E9" s="5">
        <v>50000</v>
      </c>
      <c r="F9" s="2"/>
      <c r="G9" s="2"/>
      <c r="H9" s="2"/>
      <c r="I9" s="2"/>
      <c r="J9" s="2"/>
      <c r="K9" s="2"/>
      <c r="L9" s="2"/>
      <c r="M9" s="2"/>
      <c r="N9" s="2"/>
    </row>
    <row r="10" spans="1:14" ht="13.15" customHeight="1">
      <c r="A10" s="5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3.15" customHeight="1">
      <c r="A11" s="4" t="s">
        <v>124</v>
      </c>
      <c r="B11" s="2"/>
      <c r="C11" s="2"/>
      <c r="D11" s="5">
        <v>12000</v>
      </c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3.1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3.15" customHeight="1">
      <c r="A13" s="4" t="s">
        <v>125</v>
      </c>
      <c r="B13" s="5">
        <f t="shared" ref="B13:N13" si="0">SUM(B5:B12)</f>
        <v>31518.5</v>
      </c>
      <c r="C13" s="5">
        <f t="shared" si="0"/>
        <v>39245</v>
      </c>
      <c r="D13" s="5">
        <f t="shared" si="0"/>
        <v>52484.925000000003</v>
      </c>
      <c r="E13" s="5">
        <f t="shared" si="0"/>
        <v>102135.6</v>
      </c>
      <c r="F13" s="5">
        <f t="shared" si="0"/>
        <v>58759.549999999996</v>
      </c>
      <c r="G13" s="5">
        <f t="shared" si="0"/>
        <v>67613.375</v>
      </c>
      <c r="H13" s="5">
        <f t="shared" si="0"/>
        <v>87459.324999999997</v>
      </c>
      <c r="I13" s="5">
        <f t="shared" si="0"/>
        <v>103784.325</v>
      </c>
      <c r="J13" s="5">
        <f t="shared" si="0"/>
        <v>102399.97500000001</v>
      </c>
      <c r="K13" s="5">
        <f t="shared" si="0"/>
        <v>132296.17499999999</v>
      </c>
      <c r="L13" s="5">
        <f t="shared" si="0"/>
        <v>133401.07500000001</v>
      </c>
      <c r="M13" s="5">
        <f t="shared" si="0"/>
        <v>145326</v>
      </c>
      <c r="N13" s="5">
        <f t="shared" si="0"/>
        <v>994423.82499999995</v>
      </c>
    </row>
    <row r="14" spans="1:14" ht="13.1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3.15" customHeight="1">
      <c r="A15" s="5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3.15" customHeight="1">
      <c r="A16" s="18" t="s">
        <v>126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3.1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3.15" customHeight="1">
      <c r="A18" s="4" t="s">
        <v>127</v>
      </c>
      <c r="B18" s="5">
        <f>sujet!B144*0.2</f>
        <v>700</v>
      </c>
      <c r="C18" s="5">
        <f>'Compte de résultat'!B12*1.055+sujet!B144*0.3</f>
        <v>7411.65</v>
      </c>
      <c r="D18" s="5">
        <f>'Compte de résultat'!C12*1.055+sujet!B144*0.5</f>
        <v>13428.849999999999</v>
      </c>
      <c r="E18" s="5">
        <f>'Compte de résultat'!D12*1.055</f>
        <v>12661.582499999999</v>
      </c>
      <c r="F18" s="5">
        <f>'Compte de résultat'!E12*1.055</f>
        <v>13848.457499999999</v>
      </c>
      <c r="G18" s="5">
        <f>'Compte de résultat'!F12*1.055</f>
        <v>16355.137499999999</v>
      </c>
      <c r="H18" s="5">
        <f>'Compte de résultat'!G12*1.055</f>
        <v>17280.899999999998</v>
      </c>
      <c r="I18" s="5">
        <f>'Compte de résultat'!H12*1.055</f>
        <v>12832.492499999998</v>
      </c>
      <c r="J18" s="5">
        <f>'Compte de résultat'!I12*1.055</f>
        <v>12533.4</v>
      </c>
      <c r="K18" s="5">
        <f>'Compte de résultat'!J12*1.055</f>
        <v>17418.577499999999</v>
      </c>
      <c r="L18" s="5">
        <f>'Compte de résultat'!K12*1.055</f>
        <v>19027.98</v>
      </c>
      <c r="M18" s="5">
        <f>'Compte de résultat'!L12*1.055</f>
        <v>14740.987499999999</v>
      </c>
      <c r="N18" s="5">
        <f>SUM(B18:M18)</f>
        <v>158240.01499999996</v>
      </c>
    </row>
    <row r="19" spans="1:14" ht="13.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3.15" customHeight="1">
      <c r="A20" s="4" t="s">
        <v>45</v>
      </c>
      <c r="B20" s="5">
        <f>'Compte de résultat'!B14*3</f>
        <v>20000</v>
      </c>
      <c r="C20" s="2"/>
      <c r="D20" s="2"/>
      <c r="E20" s="5">
        <f>'Compte de résultat'!E14*3</f>
        <v>20000</v>
      </c>
      <c r="F20" s="2"/>
      <c r="G20" s="2"/>
      <c r="H20" s="5">
        <f>'Compte de résultat'!H14*3</f>
        <v>20000</v>
      </c>
      <c r="I20" s="2"/>
      <c r="J20" s="2"/>
      <c r="K20" s="5">
        <f>'Compte de résultat'!K14*3</f>
        <v>20000</v>
      </c>
      <c r="L20" s="2"/>
      <c r="M20" s="2"/>
      <c r="N20" s="2"/>
    </row>
    <row r="21" spans="1:14" ht="13.15" customHeight="1">
      <c r="A21" s="4" t="s">
        <v>47</v>
      </c>
      <c r="B21" s="5">
        <f>'Compte de résultat'!B15*1.2</f>
        <v>1200</v>
      </c>
      <c r="C21" s="5">
        <f>'Compte de résultat'!C15*1.2</f>
        <v>1200</v>
      </c>
      <c r="D21" s="5">
        <f>'Compte de résultat'!D15*1.2</f>
        <v>1200</v>
      </c>
      <c r="E21" s="5">
        <f>'Compte de résultat'!E15*1.2</f>
        <v>1200</v>
      </c>
      <c r="F21" s="5">
        <f>'Compte de résultat'!F15*1.2</f>
        <v>1200</v>
      </c>
      <c r="G21" s="5">
        <f>'Compte de résultat'!G15*1.2</f>
        <v>1200</v>
      </c>
      <c r="H21" s="5">
        <f>'Compte de résultat'!H15*1.2</f>
        <v>1200</v>
      </c>
      <c r="I21" s="5">
        <f>'Compte de résultat'!I15*1.2</f>
        <v>1200</v>
      </c>
      <c r="J21" s="5">
        <f>'Compte de résultat'!J15*1.2</f>
        <v>1200</v>
      </c>
      <c r="K21" s="5">
        <f>'Compte de résultat'!K15*1.2</f>
        <v>1200</v>
      </c>
      <c r="L21" s="5">
        <f>'Compte de résultat'!L15*1.2</f>
        <v>1200</v>
      </c>
      <c r="M21" s="5">
        <f>'Compte de résultat'!M15*1.2</f>
        <v>1200</v>
      </c>
      <c r="N21" s="5">
        <f t="shared" ref="N21:N27" si="1">SUM(B21:M21)</f>
        <v>14400</v>
      </c>
    </row>
    <row r="22" spans="1:14" ht="13.15" customHeight="1">
      <c r="A22" s="4" t="s">
        <v>48</v>
      </c>
      <c r="B22" s="5">
        <f>'Compte de résultat'!B16</f>
        <v>333.33333333333331</v>
      </c>
      <c r="C22" s="5">
        <f>'Compte de résultat'!C16</f>
        <v>333.33333333333331</v>
      </c>
      <c r="D22" s="5">
        <f>'Compte de résultat'!D16</f>
        <v>333.33333333333331</v>
      </c>
      <c r="E22" s="5">
        <f>'Compte de résultat'!E16</f>
        <v>333.33333333333331</v>
      </c>
      <c r="F22" s="5">
        <f>'Compte de résultat'!F16</f>
        <v>333.33333333333331</v>
      </c>
      <c r="G22" s="5">
        <f>'Compte de résultat'!G16</f>
        <v>333.33333333333331</v>
      </c>
      <c r="H22" s="5">
        <f>'Compte de résultat'!H16</f>
        <v>333.33333333333331</v>
      </c>
      <c r="I22" s="5">
        <f>'Compte de résultat'!I16</f>
        <v>333.33333333333331</v>
      </c>
      <c r="J22" s="5">
        <f>'Compte de résultat'!J16</f>
        <v>333.33333333333331</v>
      </c>
      <c r="K22" s="5">
        <f>'Compte de résultat'!K16</f>
        <v>333.33333333333331</v>
      </c>
      <c r="L22" s="5">
        <f>'Compte de résultat'!L16</f>
        <v>333.33333333333331</v>
      </c>
      <c r="M22" s="5">
        <f>'Compte de résultat'!M16</f>
        <v>333.33333333333331</v>
      </c>
      <c r="N22" s="5">
        <f t="shared" si="1"/>
        <v>4000.0000000000005</v>
      </c>
    </row>
    <row r="23" spans="1:14" ht="13.15" customHeight="1">
      <c r="A23" s="4" t="s">
        <v>49</v>
      </c>
      <c r="B23" s="5">
        <f>'Compte de résultat'!B17*1.2</f>
        <v>1599.9999999999998</v>
      </c>
      <c r="C23" s="5">
        <f>'Compte de résultat'!C17*1.2</f>
        <v>1599.9999999999998</v>
      </c>
      <c r="D23" s="5">
        <f>'Compte de résultat'!D17*1.2</f>
        <v>1599.9999999999998</v>
      </c>
      <c r="E23" s="5">
        <f>'Compte de résultat'!E17*1.2</f>
        <v>1599.9999999999998</v>
      </c>
      <c r="F23" s="5">
        <f>'Compte de résultat'!F17*1.2</f>
        <v>1599.9999999999998</v>
      </c>
      <c r="G23" s="5">
        <f>'Compte de résultat'!G17*1.2</f>
        <v>1599.9999999999998</v>
      </c>
      <c r="H23" s="5">
        <f>'Compte de résultat'!H17*1.2</f>
        <v>1599.9999999999998</v>
      </c>
      <c r="I23" s="5">
        <f>'Compte de résultat'!I17*1.2</f>
        <v>1599.9999999999998</v>
      </c>
      <c r="J23" s="5">
        <f>'Compte de résultat'!J17*1.2</f>
        <v>1599.9999999999998</v>
      </c>
      <c r="K23" s="5">
        <f>'Compte de résultat'!K17*1.2</f>
        <v>1599.9999999999998</v>
      </c>
      <c r="L23" s="5">
        <f>'Compte de résultat'!L17*1.2</f>
        <v>1599.9999999999998</v>
      </c>
      <c r="M23" s="5">
        <f>'Compte de résultat'!M17*1.2</f>
        <v>1599.9999999999998</v>
      </c>
      <c r="N23" s="5">
        <f t="shared" si="1"/>
        <v>19199.999999999996</v>
      </c>
    </row>
    <row r="24" spans="1:14" ht="13.15" customHeight="1">
      <c r="A24" s="4" t="s">
        <v>50</v>
      </c>
      <c r="B24" s="5">
        <f>'Compte de résultat'!B18*1.2</f>
        <v>1334.3999999999999</v>
      </c>
      <c r="C24" s="5">
        <f>'Compte de résultat'!C18*1.2</f>
        <v>1948.8</v>
      </c>
      <c r="D24" s="5">
        <f>'Compte de résultat'!D18*1.2</f>
        <v>1817.76</v>
      </c>
      <c r="E24" s="5">
        <f>'Compte de résultat'!E18*1.2</f>
        <v>2307.3599999999997</v>
      </c>
      <c r="F24" s="5">
        <f>'Compte de résultat'!F18*1.2</f>
        <v>2661.6</v>
      </c>
      <c r="G24" s="5">
        <f>'Compte de résultat'!G18*1.2</f>
        <v>2956.7999999999997</v>
      </c>
      <c r="H24" s="5">
        <f>'Compte de résultat'!H18*1.2</f>
        <v>3457.44</v>
      </c>
      <c r="I24" s="5">
        <f>'Compte de résultat'!I18*1.2</f>
        <v>4291.2</v>
      </c>
      <c r="J24" s="5">
        <f>'Compte de résultat'!J18*1.2</f>
        <v>4525.92</v>
      </c>
      <c r="K24" s="5">
        <f>'Compte de résultat'!K18*1.2</f>
        <v>5595.8399999999992</v>
      </c>
      <c r="L24" s="5">
        <f>'Compte de résultat'!L18*1.2</f>
        <v>5325.5999999999995</v>
      </c>
      <c r="M24" s="5">
        <f>'Compte de résultat'!M18*1.2</f>
        <v>6324</v>
      </c>
      <c r="N24" s="5">
        <f t="shared" si="1"/>
        <v>42546.720000000001</v>
      </c>
    </row>
    <row r="25" spans="1:14" ht="13.15" customHeight="1">
      <c r="A25" s="4" t="s">
        <v>52</v>
      </c>
      <c r="B25" s="5">
        <f>'Compte de résultat'!B19*1.2</f>
        <v>333.59999999999997</v>
      </c>
      <c r="C25" s="5">
        <f>'Compte de résultat'!C19*1.2</f>
        <v>487.2</v>
      </c>
      <c r="D25" s="5">
        <f>'Compte de résultat'!D19*1.2</f>
        <v>454.44</v>
      </c>
      <c r="E25" s="5">
        <f>'Compte de résultat'!E19*1.2</f>
        <v>576.83999999999992</v>
      </c>
      <c r="F25" s="5">
        <f>'Compte de résultat'!F19*1.2</f>
        <v>665.4</v>
      </c>
      <c r="G25" s="5">
        <f>'Compte de résultat'!G19*1.2</f>
        <v>739.19999999999993</v>
      </c>
      <c r="H25" s="5">
        <f>'Compte de résultat'!H19*1.2</f>
        <v>864.36</v>
      </c>
      <c r="I25" s="5">
        <f>'Compte de résultat'!I19*1.2</f>
        <v>1072.8</v>
      </c>
      <c r="J25" s="5">
        <f>'Compte de résultat'!J19*1.2</f>
        <v>1131.48</v>
      </c>
      <c r="K25" s="5">
        <f>'Compte de résultat'!K19*1.2</f>
        <v>1398.9599999999998</v>
      </c>
      <c r="L25" s="5">
        <f>'Compte de résultat'!L19*1.2</f>
        <v>1331.3999999999999</v>
      </c>
      <c r="M25" s="5">
        <f>'Compte de résultat'!M19*1.2</f>
        <v>1581</v>
      </c>
      <c r="N25" s="5">
        <f t="shared" si="1"/>
        <v>10636.68</v>
      </c>
    </row>
    <row r="26" spans="1:14" ht="13.15" customHeight="1">
      <c r="A26" s="4" t="s">
        <v>54</v>
      </c>
      <c r="B26" s="5">
        <f>'Compte de résultat'!B20*1.2</f>
        <v>1200</v>
      </c>
      <c r="C26" s="5">
        <f>'Compte de résultat'!C20*1.2</f>
        <v>1200</v>
      </c>
      <c r="D26" s="5">
        <f>'Compte de résultat'!D20*1.2</f>
        <v>1200</v>
      </c>
      <c r="E26" s="5">
        <f>'Compte de résultat'!E20*1.2</f>
        <v>1200</v>
      </c>
      <c r="F26" s="5">
        <f>'Compte de résultat'!F20*1.2</f>
        <v>1200</v>
      </c>
      <c r="G26" s="5">
        <f>'Compte de résultat'!G20*1.2</f>
        <v>1200</v>
      </c>
      <c r="H26" s="5">
        <f>'Compte de résultat'!H20*1.2</f>
        <v>1200</v>
      </c>
      <c r="I26" s="5">
        <f>'Compte de résultat'!I20*1.2</f>
        <v>1200</v>
      </c>
      <c r="J26" s="5">
        <f>'Compte de résultat'!J20*1.2</f>
        <v>1200</v>
      </c>
      <c r="K26" s="5">
        <f>'Compte de résultat'!K20*1.2</f>
        <v>1200</v>
      </c>
      <c r="L26" s="5">
        <f>'Compte de résultat'!L20*1.2</f>
        <v>1200</v>
      </c>
      <c r="M26" s="5">
        <f>'Compte de résultat'!M20*1.2</f>
        <v>1200</v>
      </c>
      <c r="N26" s="5">
        <f t="shared" si="1"/>
        <v>14400</v>
      </c>
    </row>
    <row r="27" spans="1:14" ht="13.15" customHeight="1">
      <c r="A27" s="4" t="s">
        <v>55</v>
      </c>
      <c r="B27" s="5">
        <f>'Compte de résultat'!B21*1.2</f>
        <v>1599.9999999999998</v>
      </c>
      <c r="C27" s="5">
        <f>'Compte de résultat'!C21*1.2</f>
        <v>1599.9999999999998</v>
      </c>
      <c r="D27" s="5">
        <f>'Compte de résultat'!D21*1.2</f>
        <v>1599.9999999999998</v>
      </c>
      <c r="E27" s="5">
        <f>'Compte de résultat'!E21*1.2</f>
        <v>1599.9999999999998</v>
      </c>
      <c r="F27" s="5">
        <f>'Compte de résultat'!F21*1.2</f>
        <v>1599.9999999999998</v>
      </c>
      <c r="G27" s="5">
        <f>'Compte de résultat'!G21*1.2</f>
        <v>1599.9999999999998</v>
      </c>
      <c r="H27" s="5">
        <f>'Compte de résultat'!H21*1.2</f>
        <v>1599.9999999999998</v>
      </c>
      <c r="I27" s="5">
        <f>'Compte de résultat'!I21*1.2</f>
        <v>1599.9999999999998</v>
      </c>
      <c r="J27" s="5">
        <f>'Compte de résultat'!J21*1.2</f>
        <v>1599.9999999999998</v>
      </c>
      <c r="K27" s="5">
        <f>'Compte de résultat'!K21*1.2</f>
        <v>1599.9999999999998</v>
      </c>
      <c r="L27" s="5">
        <f>'Compte de résultat'!L21*1.2</f>
        <v>1599.9999999999998</v>
      </c>
      <c r="M27" s="5">
        <f>'Compte de résultat'!M21*1.2</f>
        <v>1599.9999999999998</v>
      </c>
      <c r="N27" s="5">
        <f t="shared" si="1"/>
        <v>19199.999999999996</v>
      </c>
    </row>
    <row r="28" spans="1:14" ht="13.15" customHeight="1">
      <c r="A28" s="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3.15" customHeight="1">
      <c r="A29" s="4" t="s">
        <v>109</v>
      </c>
      <c r="B29" s="5">
        <f>'Compte de résultat'!B24*0.8</f>
        <v>2400</v>
      </c>
      <c r="C29" s="5">
        <f>'Compte de résultat'!C24*0.8</f>
        <v>2400</v>
      </c>
      <c r="D29" s="5">
        <f>'Compte de résultat'!D24*0.8</f>
        <v>2400</v>
      </c>
      <c r="E29" s="5">
        <f>'Compte de résultat'!E24*0.8</f>
        <v>2400</v>
      </c>
      <c r="F29" s="5">
        <f>'Compte de résultat'!F24*0.8</f>
        <v>2400</v>
      </c>
      <c r="G29" s="5">
        <f>'Compte de résultat'!G24*0.8</f>
        <v>2400</v>
      </c>
      <c r="H29" s="5">
        <f>'Compte de résultat'!H24*0.8</f>
        <v>4000</v>
      </c>
      <c r="I29" s="5">
        <f>'Compte de résultat'!I24*0.8</f>
        <v>4000</v>
      </c>
      <c r="J29" s="5">
        <f>'Compte de résultat'!J24*0.8</f>
        <v>4000</v>
      </c>
      <c r="K29" s="5">
        <f>'Compte de résultat'!K24*0.8</f>
        <v>4000</v>
      </c>
      <c r="L29" s="5">
        <f>'Compte de résultat'!L24*0.8</f>
        <v>4000</v>
      </c>
      <c r="M29" s="5">
        <f>'Compte de résultat'!M24*0.8</f>
        <v>4000</v>
      </c>
      <c r="N29" s="5">
        <f>SUM(B29:M29)</f>
        <v>38400</v>
      </c>
    </row>
    <row r="30" spans="1:14" ht="13.15" customHeight="1">
      <c r="A30" s="4" t="s">
        <v>110</v>
      </c>
      <c r="B30" s="5">
        <f>'Compte de résultat'!B25*0.8</f>
        <v>4800</v>
      </c>
      <c r="C30" s="5">
        <f>'Compte de résultat'!C25*0.8</f>
        <v>4800</v>
      </c>
      <c r="D30" s="5">
        <f>'Compte de résultat'!D25*0.8</f>
        <v>4800</v>
      </c>
      <c r="E30" s="5">
        <f>'Compte de résultat'!E25*0.8</f>
        <v>4800</v>
      </c>
      <c r="F30" s="5">
        <f>'Compte de résultat'!F25*0.8</f>
        <v>4800</v>
      </c>
      <c r="G30" s="5">
        <f>'Compte de résultat'!G25*0.8</f>
        <v>4800</v>
      </c>
      <c r="H30" s="5">
        <f>'Compte de résultat'!H25*0.8</f>
        <v>4800</v>
      </c>
      <c r="I30" s="5">
        <f>'Compte de résultat'!I25*0.8</f>
        <v>4800</v>
      </c>
      <c r="J30" s="5">
        <f>'Compte de résultat'!J25*0.8</f>
        <v>6400</v>
      </c>
      <c r="K30" s="5">
        <f>'Compte de résultat'!K25*0.8</f>
        <v>6400</v>
      </c>
      <c r="L30" s="5">
        <f>'Compte de résultat'!L25*0.8</f>
        <v>6400</v>
      </c>
      <c r="M30" s="5">
        <f>'Compte de résultat'!M25*0.8</f>
        <v>6400</v>
      </c>
      <c r="N30" s="5">
        <f>SUM(B30:M30)</f>
        <v>64000</v>
      </c>
    </row>
    <row r="31" spans="1:14" ht="13.15" customHeight="1">
      <c r="A31" s="4" t="s">
        <v>111</v>
      </c>
      <c r="B31" s="5">
        <f>'Compte de résultat'!B26*0.8</f>
        <v>4000</v>
      </c>
      <c r="C31" s="5">
        <f>'Compte de résultat'!C26*0.8</f>
        <v>4000</v>
      </c>
      <c r="D31" s="5">
        <f>'Compte de résultat'!D26*0.8</f>
        <v>4000</v>
      </c>
      <c r="E31" s="5">
        <f>'Compte de résultat'!E26*0.8</f>
        <v>4000</v>
      </c>
      <c r="F31" s="5">
        <f>'Compte de résultat'!F26*0.8</f>
        <v>4000</v>
      </c>
      <c r="G31" s="5">
        <f>'Compte de résultat'!G26*0.8</f>
        <v>4032</v>
      </c>
      <c r="H31" s="5">
        <f>'Compte de résultat'!H26*0.8</f>
        <v>7200</v>
      </c>
      <c r="I31" s="5">
        <f>'Compte de résultat'!I26*0.8</f>
        <v>10080</v>
      </c>
      <c r="J31" s="5">
        <f>'Compte de résultat'!J26*0.8</f>
        <v>9216</v>
      </c>
      <c r="K31" s="5">
        <f>'Compte de résultat'!K26*0.8</f>
        <v>12240</v>
      </c>
      <c r="L31" s="5">
        <f>'Compte de résultat'!L26*0.8</f>
        <v>12784</v>
      </c>
      <c r="M31" s="5">
        <f>'Compte de résultat'!M26*0.8</f>
        <v>14144</v>
      </c>
      <c r="N31" s="5">
        <f>SUM(B31:M31)</f>
        <v>89696</v>
      </c>
    </row>
    <row r="32" spans="1:14" ht="13.15" customHeight="1">
      <c r="A32" s="19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3.15" customHeight="1">
      <c r="A33" s="4" t="s">
        <v>102</v>
      </c>
      <c r="B33" s="5">
        <f>sujet!B150</f>
        <v>15000</v>
      </c>
      <c r="C33" s="2"/>
      <c r="D33" s="2"/>
      <c r="E33" s="5">
        <f>('Compte de résultat'!B28+'Compte de résultat'!C28+'Compte de résultat'!D28)*0.62</f>
        <v>26040</v>
      </c>
      <c r="F33" s="2"/>
      <c r="G33" s="2"/>
      <c r="H33" s="5">
        <f>('Compte de résultat'!E28+'Compte de résultat'!F28+'Compte de résultat'!G28)*0.62</f>
        <v>26064.799999999999</v>
      </c>
      <c r="I33" s="2"/>
      <c r="J33" s="2"/>
      <c r="K33" s="5">
        <f>('Compte de résultat'!H28+'Compte de résultat'!I28+'Compte de résultat'!J28)*0.62</f>
        <v>42234.400000000001</v>
      </c>
      <c r="L33" s="2"/>
      <c r="M33" s="2"/>
      <c r="N33" s="5">
        <f>SUM(B33:M33)</f>
        <v>109339.20000000001</v>
      </c>
    </row>
    <row r="34" spans="1:14" ht="13.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3.15" customHeight="1">
      <c r="A35" s="4" t="s">
        <v>128</v>
      </c>
      <c r="B35" s="2"/>
      <c r="C35" s="2"/>
      <c r="D35" s="2"/>
      <c r="E35" s="2"/>
      <c r="F35" s="2"/>
      <c r="G35" s="5">
        <v>5000</v>
      </c>
      <c r="H35" s="2"/>
      <c r="I35" s="2"/>
      <c r="J35" s="2"/>
      <c r="K35" s="2"/>
      <c r="L35" s="2"/>
      <c r="M35" s="5">
        <v>5000</v>
      </c>
      <c r="N35" s="5">
        <f>SUM(B35:M35)</f>
        <v>10000</v>
      </c>
    </row>
    <row r="36" spans="1:14" ht="13.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3.15" customHeight="1">
      <c r="A37" s="4" t="s">
        <v>113</v>
      </c>
      <c r="B37" s="5">
        <f>'Compte de résultat'!B34</f>
        <v>1000</v>
      </c>
      <c r="C37" s="5">
        <f>'Compte de résultat'!C34</f>
        <v>1000</v>
      </c>
      <c r="D37" s="5">
        <f>'Compte de résultat'!D34</f>
        <v>1000</v>
      </c>
      <c r="E37" s="5">
        <f>'Compte de résultat'!E34</f>
        <v>1000</v>
      </c>
      <c r="F37" s="5">
        <f>'Compte de résultat'!F34</f>
        <v>1000</v>
      </c>
      <c r="G37" s="5">
        <f>'Compte de résultat'!G34</f>
        <v>1000</v>
      </c>
      <c r="H37" s="5">
        <f>'Compte de résultat'!H34</f>
        <v>1000</v>
      </c>
      <c r="I37" s="5">
        <f>'Compte de résultat'!I34</f>
        <v>1000</v>
      </c>
      <c r="J37" s="5">
        <f>'Compte de résultat'!J34</f>
        <v>1000</v>
      </c>
      <c r="K37" s="5">
        <f>'Compte de résultat'!K34</f>
        <v>1000</v>
      </c>
      <c r="L37" s="5">
        <f>'Compte de résultat'!L34</f>
        <v>1000</v>
      </c>
      <c r="M37" s="5">
        <f>'Compte de résultat'!M34</f>
        <v>1000</v>
      </c>
      <c r="N37" s="5">
        <f>SUM(B37:M37)</f>
        <v>12000</v>
      </c>
    </row>
    <row r="38" spans="1:14" ht="13.15" customHeight="1">
      <c r="A38" s="4" t="s">
        <v>114</v>
      </c>
      <c r="B38" s="5">
        <f>'Compte de résultat'!B35</f>
        <v>0</v>
      </c>
      <c r="C38" s="5">
        <f>'Compte de résultat'!C35</f>
        <v>0</v>
      </c>
      <c r="D38" s="5">
        <f>'Compte de résultat'!D35</f>
        <v>0</v>
      </c>
      <c r="E38" s="5">
        <f>'Compte de résultat'!E35</f>
        <v>166.66666666666666</v>
      </c>
      <c r="F38" s="5">
        <f>'Compte de résultat'!F35</f>
        <v>166.66666666666666</v>
      </c>
      <c r="G38" s="5">
        <f>'Compte de résultat'!G35</f>
        <v>166.66666666666666</v>
      </c>
      <c r="H38" s="5">
        <f>'Compte de résultat'!H35</f>
        <v>166.66666666666666</v>
      </c>
      <c r="I38" s="5">
        <f>'Compte de résultat'!I35</f>
        <v>166.66666666666666</v>
      </c>
      <c r="J38" s="5">
        <f>'Compte de résultat'!J35</f>
        <v>166.66666666666666</v>
      </c>
      <c r="K38" s="5">
        <f>'Compte de résultat'!K35</f>
        <v>166.66666666666666</v>
      </c>
      <c r="L38" s="5">
        <f>'Compte de résultat'!L35</f>
        <v>166.66666666666666</v>
      </c>
      <c r="M38" s="5">
        <f>'Compte de résultat'!M35</f>
        <v>166.66666666666666</v>
      </c>
      <c r="N38" s="5">
        <f>SUM(B38:M38)</f>
        <v>1500</v>
      </c>
    </row>
    <row r="39" spans="1:14" ht="13.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3.15" customHeight="1">
      <c r="A40" s="4" t="s">
        <v>129</v>
      </c>
      <c r="B40" s="2"/>
      <c r="C40" s="2"/>
      <c r="D40" s="2"/>
      <c r="E40" s="5">
        <f t="shared" ref="E40:J40" si="2">70000/3*1.2</f>
        <v>27999.999999999996</v>
      </c>
      <c r="F40" s="2"/>
      <c r="G40" s="5">
        <f t="shared" si="2"/>
        <v>27999.999999999996</v>
      </c>
      <c r="H40" s="2"/>
      <c r="I40" s="2"/>
      <c r="J40" s="5">
        <f t="shared" si="2"/>
        <v>27999.999999999996</v>
      </c>
      <c r="K40" s="2"/>
      <c r="L40" s="2"/>
      <c r="M40" s="2"/>
      <c r="N40" s="5">
        <f>SUM(B40:M40)</f>
        <v>83999.999999999985</v>
      </c>
    </row>
    <row r="41" spans="1:14" ht="13.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3.15" customHeight="1">
      <c r="A42" s="4" t="s">
        <v>130</v>
      </c>
      <c r="B42" s="5">
        <f>sujet!B148</f>
        <v>4500</v>
      </c>
      <c r="C42" s="5">
        <f>TVA!B26</f>
        <v>2272.3500000000004</v>
      </c>
      <c r="D42" s="5">
        <f>TVA!C26</f>
        <v>2604.8166666666666</v>
      </c>
      <c r="E42" s="5">
        <f>TVA!D26</f>
        <v>1734.7341666666664</v>
      </c>
      <c r="F42" s="5">
        <f>TVA!E26</f>
        <v>3248.3591666666671</v>
      </c>
      <c r="G42" s="5">
        <f>TVA!F26</f>
        <v>3754.2791666666667</v>
      </c>
      <c r="H42" s="5">
        <f>TVA!G26</f>
        <v>0</v>
      </c>
      <c r="I42" s="5">
        <f>TVA!H26</f>
        <v>0</v>
      </c>
      <c r="J42" s="5">
        <f>TVA!I26</f>
        <v>10327.266666666666</v>
      </c>
      <c r="K42" s="5">
        <f>TVA!J26</f>
        <v>10753.639166666668</v>
      </c>
      <c r="L42" s="5">
        <f>TVA!K26</f>
        <v>14413.286666666669</v>
      </c>
      <c r="M42" s="5">
        <f>TVA!L26</f>
        <v>14876.429166666667</v>
      </c>
      <c r="N42" s="5">
        <f>SUM(B42:M42)</f>
        <v>68485.160833333342</v>
      </c>
    </row>
    <row r="43" spans="1:14" ht="13.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3.15" customHeight="1">
      <c r="A44" s="4" t="s">
        <v>131</v>
      </c>
      <c r="B44" s="5">
        <f t="shared" ref="B44:M44" si="3">SUM(B18:B42)</f>
        <v>60001.333333333328</v>
      </c>
      <c r="C44" s="5">
        <f t="shared" si="3"/>
        <v>30253.333333333336</v>
      </c>
      <c r="D44" s="5">
        <f t="shared" si="3"/>
        <v>36439.199999999997</v>
      </c>
      <c r="E44" s="5">
        <f t="shared" si="3"/>
        <v>109620.51666666666</v>
      </c>
      <c r="F44" s="5">
        <f t="shared" si="3"/>
        <v>38723.816666666666</v>
      </c>
      <c r="G44" s="5">
        <f t="shared" si="3"/>
        <v>75137.416666666642</v>
      </c>
      <c r="H44" s="5">
        <f t="shared" si="3"/>
        <v>90767.5</v>
      </c>
      <c r="I44" s="5">
        <f t="shared" si="3"/>
        <v>44176.4925</v>
      </c>
      <c r="J44" s="5">
        <f t="shared" si="3"/>
        <v>83234.066666666651</v>
      </c>
      <c r="K44" s="5">
        <f t="shared" si="3"/>
        <v>127141.41666666669</v>
      </c>
      <c r="L44" s="5">
        <f t="shared" si="3"/>
        <v>70382.266666666663</v>
      </c>
      <c r="M44" s="5">
        <f t="shared" si="3"/>
        <v>74166.416666666657</v>
      </c>
      <c r="N44" s="20">
        <f>SUM(B44:M44)</f>
        <v>840043.77583333326</v>
      </c>
    </row>
    <row r="45" spans="1:14" ht="13.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3.15" customHeight="1">
      <c r="A46" s="4" t="s">
        <v>132</v>
      </c>
      <c r="B46" s="5">
        <f t="shared" ref="B46:M46" si="4">B13-B44</f>
        <v>-28482.833333333328</v>
      </c>
      <c r="C46" s="5">
        <f t="shared" si="4"/>
        <v>8991.6666666666642</v>
      </c>
      <c r="D46" s="5">
        <f t="shared" si="4"/>
        <v>16045.725000000006</v>
      </c>
      <c r="E46" s="5">
        <f t="shared" si="4"/>
        <v>-7484.916666666657</v>
      </c>
      <c r="F46" s="5">
        <f t="shared" si="4"/>
        <v>20035.73333333333</v>
      </c>
      <c r="G46" s="5">
        <f t="shared" si="4"/>
        <v>-7524.0416666666424</v>
      </c>
      <c r="H46" s="5">
        <f t="shared" si="4"/>
        <v>-3308.1750000000029</v>
      </c>
      <c r="I46" s="5">
        <f t="shared" si="4"/>
        <v>59607.832499999997</v>
      </c>
      <c r="J46" s="5">
        <f t="shared" si="4"/>
        <v>19165.908333333355</v>
      </c>
      <c r="K46" s="5">
        <f t="shared" si="4"/>
        <v>5154.7583333333023</v>
      </c>
      <c r="L46" s="5">
        <f t="shared" si="4"/>
        <v>63018.808333333349</v>
      </c>
      <c r="M46" s="5">
        <f t="shared" si="4"/>
        <v>71159.583333333343</v>
      </c>
      <c r="N46" s="20">
        <f>SUM(B46:M46)</f>
        <v>216380.04916666672</v>
      </c>
    </row>
    <row r="47" spans="1:14" ht="13.15" customHeight="1">
      <c r="A47" s="4" t="s">
        <v>133</v>
      </c>
      <c r="B47" s="5">
        <f>B46+sujet!B146</f>
        <v>-25982.833333333328</v>
      </c>
      <c r="C47" s="5">
        <f t="shared" ref="C47:M47" si="5">C46+B47</f>
        <v>-16991.166666666664</v>
      </c>
      <c r="D47" s="5">
        <f t="shared" si="5"/>
        <v>-945.44166666665842</v>
      </c>
      <c r="E47" s="5">
        <f t="shared" si="5"/>
        <v>-8430.3583333333154</v>
      </c>
      <c r="F47" s="5">
        <f t="shared" si="5"/>
        <v>11605.375000000015</v>
      </c>
      <c r="G47" s="5">
        <f t="shared" si="5"/>
        <v>4081.3333333333721</v>
      </c>
      <c r="H47" s="5">
        <f t="shared" si="5"/>
        <v>773.15833333336923</v>
      </c>
      <c r="I47" s="5">
        <f t="shared" si="5"/>
        <v>60380.990833333366</v>
      </c>
      <c r="J47" s="5">
        <f t="shared" si="5"/>
        <v>79546.899166666728</v>
      </c>
      <c r="K47" s="5">
        <f t="shared" si="5"/>
        <v>84701.65750000003</v>
      </c>
      <c r="L47" s="5">
        <f t="shared" si="5"/>
        <v>147720.46583333338</v>
      </c>
      <c r="M47" s="5">
        <f t="shared" si="5"/>
        <v>218880.04916666672</v>
      </c>
      <c r="N47" s="2"/>
    </row>
  </sheetData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V26"/>
  <sheetViews>
    <sheetView showGridLines="0" zoomScale="85" zoomScaleNormal="85" workbookViewId="0">
      <selection activeCell="D24" sqref="D24"/>
    </sheetView>
  </sheetViews>
  <sheetFormatPr baseColWidth="10" defaultColWidth="10.85546875" defaultRowHeight="13.15" customHeight="1"/>
  <cols>
    <col min="1" max="1" width="23.7109375" style="21" customWidth="1"/>
    <col min="2" max="14" width="11.42578125" style="21" customWidth="1"/>
    <col min="15" max="256" width="10.85546875" style="21" customWidth="1"/>
  </cols>
  <sheetData>
    <row r="1" spans="1:14" ht="13.7" customHeight="1">
      <c r="A1" s="2"/>
      <c r="B1" s="7" t="s">
        <v>14</v>
      </c>
      <c r="C1" s="7" t="s">
        <v>15</v>
      </c>
      <c r="D1" s="7" t="s">
        <v>16</v>
      </c>
      <c r="E1" s="7" t="s">
        <v>17</v>
      </c>
      <c r="F1" s="7" t="s">
        <v>18</v>
      </c>
      <c r="G1" s="7" t="s">
        <v>19</v>
      </c>
      <c r="H1" s="7" t="s">
        <v>20</v>
      </c>
      <c r="I1" s="7" t="s">
        <v>21</v>
      </c>
      <c r="J1" s="7" t="s">
        <v>22</v>
      </c>
      <c r="K1" s="7" t="s">
        <v>23</v>
      </c>
      <c r="L1" s="7" t="s">
        <v>24</v>
      </c>
      <c r="M1" s="7" t="s">
        <v>25</v>
      </c>
      <c r="N1" s="7" t="s">
        <v>103</v>
      </c>
    </row>
    <row r="2" spans="1:14" ht="13.7" customHeight="1">
      <c r="A2" s="2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ht="13.7" customHeight="1">
      <c r="A3" s="18" t="s">
        <v>134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3.7" customHeight="1">
      <c r="A4" s="20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3.7" customHeight="1">
      <c r="A5" s="4" t="s">
        <v>135</v>
      </c>
      <c r="B5" s="5">
        <f>'Compte de résultat'!B5*0.055</f>
        <v>737</v>
      </c>
      <c r="C5" s="5">
        <f>'Compte de résultat'!C5*0.055</f>
        <v>1353</v>
      </c>
      <c r="D5" s="5">
        <f>'Compte de résultat'!D5*0.055</f>
        <v>1466.85</v>
      </c>
      <c r="E5" s="5">
        <f>'Compte de résultat'!E5*0.055</f>
        <v>1604.35</v>
      </c>
      <c r="F5" s="5">
        <f>'Compte de résultat'!F5*0.055</f>
        <v>1894.75</v>
      </c>
      <c r="G5" s="5">
        <f>'Compte de résultat'!G5*0.055</f>
        <v>2002</v>
      </c>
      <c r="H5" s="5">
        <f>'Compte de résultat'!H5*0.055</f>
        <v>1486.65</v>
      </c>
      <c r="I5" s="5">
        <f>'Compte de résultat'!I5*0.055</f>
        <v>1452</v>
      </c>
      <c r="J5" s="5">
        <f>'Compte de résultat'!J5*0.055</f>
        <v>2017.95</v>
      </c>
      <c r="K5" s="5">
        <f>'Compte de résultat'!K5*0.055</f>
        <v>2204.4</v>
      </c>
      <c r="L5" s="5">
        <f>'Compte de résultat'!L5*0.055</f>
        <v>1707.75</v>
      </c>
      <c r="M5" s="5">
        <f>'Compte de résultat'!M5*0.055</f>
        <v>2384.25</v>
      </c>
      <c r="N5" s="5">
        <f>SUM(B5:M5)</f>
        <v>20310.95</v>
      </c>
    </row>
    <row r="6" spans="1:14" ht="13.7" customHeight="1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3.7" customHeight="1">
      <c r="A7" s="4" t="s">
        <v>136</v>
      </c>
      <c r="B7" s="5">
        <f>'Budget de Trésorerie'!B7/1.2*0.2</f>
        <v>3078.3333333333339</v>
      </c>
      <c r="C7" s="5">
        <f>'Budget de Trésorerie'!C7/1.2*0.2</f>
        <v>3200</v>
      </c>
      <c r="D7" s="5">
        <f>'Budget de Trésorerie'!D7/1.2*0.2</f>
        <v>2240</v>
      </c>
      <c r="E7" s="5">
        <f>'Budget de Trésorerie'!E7/1.2*0.2</f>
        <v>3780</v>
      </c>
      <c r="F7" s="5">
        <f>'Budget de Trésorerie'!F7/1.2*0.2</f>
        <v>4200</v>
      </c>
      <c r="G7" s="5">
        <f>'Budget de Trésorerie'!G7/1.2*0.2</f>
        <v>5040</v>
      </c>
      <c r="H7" s="5">
        <f>'Budget de Trésorerie'!H7/1.2*0.2</f>
        <v>9000</v>
      </c>
      <c r="I7" s="5">
        <f>'Budget de Trésorerie'!I7/1.2*0.2</f>
        <v>12600</v>
      </c>
      <c r="J7" s="5">
        <f>'Budget de Trésorerie'!J7/1.2*0.2</f>
        <v>11520</v>
      </c>
      <c r="K7" s="5">
        <f>'Budget de Trésorerie'!K7/1.2*0.2</f>
        <v>15300</v>
      </c>
      <c r="L7" s="5">
        <f>'Budget de Trésorerie'!L7/1.2*0.2</f>
        <v>15980</v>
      </c>
      <c r="M7" s="5">
        <f>'Budget de Trésorerie'!M7/1.2*0.2</f>
        <v>17680</v>
      </c>
      <c r="N7" s="5">
        <f>SUM(B7:M7)</f>
        <v>103618.33333333334</v>
      </c>
    </row>
    <row r="8" spans="1:14" ht="13.7" customHeight="1">
      <c r="A8" s="5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3.7" customHeight="1">
      <c r="A9" s="4" t="s">
        <v>137</v>
      </c>
      <c r="B9" s="5">
        <f t="shared" ref="B9:M9" si="0">SUM(B5:B7)</f>
        <v>3815.3333333333339</v>
      </c>
      <c r="C9" s="5">
        <f t="shared" si="0"/>
        <v>4553</v>
      </c>
      <c r="D9" s="5">
        <f t="shared" si="0"/>
        <v>3706.85</v>
      </c>
      <c r="E9" s="5">
        <f t="shared" si="0"/>
        <v>5384.35</v>
      </c>
      <c r="F9" s="5">
        <f t="shared" si="0"/>
        <v>6094.75</v>
      </c>
      <c r="G9" s="5">
        <f t="shared" si="0"/>
        <v>7042</v>
      </c>
      <c r="H9" s="5">
        <f t="shared" si="0"/>
        <v>10486.65</v>
      </c>
      <c r="I9" s="5">
        <f t="shared" si="0"/>
        <v>14052</v>
      </c>
      <c r="J9" s="5">
        <f t="shared" si="0"/>
        <v>13537.95</v>
      </c>
      <c r="K9" s="5">
        <f t="shared" si="0"/>
        <v>17504.400000000001</v>
      </c>
      <c r="L9" s="5">
        <f t="shared" si="0"/>
        <v>17687.75</v>
      </c>
      <c r="M9" s="5">
        <f t="shared" si="0"/>
        <v>20064.25</v>
      </c>
      <c r="N9" s="5">
        <f>SUM(B9:M9)</f>
        <v>123929.28333333333</v>
      </c>
    </row>
    <row r="10" spans="1:14" ht="13.7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3.7" customHeight="1">
      <c r="A11" s="18" t="s">
        <v>138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3.7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3.7" customHeight="1">
      <c r="A13" s="4" t="s">
        <v>139</v>
      </c>
      <c r="B13" s="5">
        <f>'Compte de résultat'!B12*0.055</f>
        <v>331.65</v>
      </c>
      <c r="C13" s="5">
        <f>'Compte de résultat'!C12*0.055</f>
        <v>608.85</v>
      </c>
      <c r="D13" s="5">
        <f>'Compte de résultat'!D12*0.055</f>
        <v>660.08249999999998</v>
      </c>
      <c r="E13" s="5">
        <f>'Compte de résultat'!E12*0.055</f>
        <v>721.95749999999998</v>
      </c>
      <c r="F13" s="5">
        <f>'Compte de résultat'!F12*0.055</f>
        <v>852.63750000000005</v>
      </c>
      <c r="G13" s="5">
        <f>'Compte de résultat'!G12*0.055</f>
        <v>900.9</v>
      </c>
      <c r="H13" s="5">
        <f>'Compte de résultat'!H12*0.055</f>
        <v>668.99249999999995</v>
      </c>
      <c r="I13" s="5">
        <f>'Compte de résultat'!I12*0.055</f>
        <v>653.4</v>
      </c>
      <c r="J13" s="5">
        <f>'Compte de résultat'!J12*0.055</f>
        <v>908.07749999999999</v>
      </c>
      <c r="K13" s="5">
        <f>'Compte de résultat'!K12*0.055</f>
        <v>991.98</v>
      </c>
      <c r="L13" s="5">
        <f>'Compte de résultat'!L12*0.055</f>
        <v>768.48749999999995</v>
      </c>
      <c r="M13" s="5">
        <f>'Compte de résultat'!M12*0.055</f>
        <v>1072.9124999999999</v>
      </c>
      <c r="N13" s="5">
        <f>SUM(B13:M13)</f>
        <v>9139.9274999999998</v>
      </c>
    </row>
    <row r="14" spans="1:14" ht="13.7" customHeight="1">
      <c r="A14" s="20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3.7" customHeight="1">
      <c r="A15" s="4" t="s">
        <v>47</v>
      </c>
      <c r="B15" s="5">
        <f>'Compte de résultat'!B15*0.2</f>
        <v>200</v>
      </c>
      <c r="C15" s="5">
        <f>'Compte de résultat'!C15*0.2</f>
        <v>200</v>
      </c>
      <c r="D15" s="5">
        <f>'Compte de résultat'!D15*0.2</f>
        <v>200</v>
      </c>
      <c r="E15" s="5">
        <f>'Compte de résultat'!E15*0.2</f>
        <v>200</v>
      </c>
      <c r="F15" s="5">
        <f>'Compte de résultat'!F15*0.2</f>
        <v>200</v>
      </c>
      <c r="G15" s="5">
        <f>'Compte de résultat'!G15*0.2</f>
        <v>200</v>
      </c>
      <c r="H15" s="5">
        <f>'Compte de résultat'!H15*0.2</f>
        <v>200</v>
      </c>
      <c r="I15" s="5">
        <f>'Compte de résultat'!I15*0.2</f>
        <v>200</v>
      </c>
      <c r="J15" s="5">
        <f>'Compte de résultat'!J15*0.2</f>
        <v>200</v>
      </c>
      <c r="K15" s="5">
        <f>'Compte de résultat'!K15*0.2</f>
        <v>200</v>
      </c>
      <c r="L15" s="5">
        <f>'Compte de résultat'!L15*0.2</f>
        <v>200</v>
      </c>
      <c r="M15" s="5">
        <f>'Compte de résultat'!M15*0.2</f>
        <v>200</v>
      </c>
      <c r="N15" s="5">
        <f t="shared" ref="N15:N20" si="1">SUM(B15:M15)</f>
        <v>2400</v>
      </c>
    </row>
    <row r="16" spans="1:14" ht="13.7" customHeight="1">
      <c r="A16" s="4" t="s">
        <v>49</v>
      </c>
      <c r="B16" s="5">
        <f>'Compte de résultat'!B17*0.2</f>
        <v>266.66666666666669</v>
      </c>
      <c r="C16" s="5">
        <f>'Compte de résultat'!C17*0.2</f>
        <v>266.66666666666669</v>
      </c>
      <c r="D16" s="5">
        <f>'Compte de résultat'!D17*0.2</f>
        <v>266.66666666666669</v>
      </c>
      <c r="E16" s="5">
        <f>'Compte de résultat'!E17*0.2</f>
        <v>266.66666666666669</v>
      </c>
      <c r="F16" s="5">
        <f>'Compte de résultat'!F17*0.2</f>
        <v>266.66666666666669</v>
      </c>
      <c r="G16" s="5">
        <f>'Compte de résultat'!G17*0.2</f>
        <v>266.66666666666669</v>
      </c>
      <c r="H16" s="5">
        <f>'Compte de résultat'!H17*0.2</f>
        <v>266.66666666666669</v>
      </c>
      <c r="I16" s="5">
        <f>'Compte de résultat'!I17*0.2</f>
        <v>266.66666666666669</v>
      </c>
      <c r="J16" s="5">
        <f>'Compte de résultat'!J17*0.2</f>
        <v>266.66666666666669</v>
      </c>
      <c r="K16" s="5">
        <f>'Compte de résultat'!K17*0.2</f>
        <v>266.66666666666669</v>
      </c>
      <c r="L16" s="5">
        <f>'Compte de résultat'!L17*0.2</f>
        <v>266.66666666666669</v>
      </c>
      <c r="M16" s="5">
        <f>'Compte de résultat'!M17*0.2</f>
        <v>266.66666666666669</v>
      </c>
      <c r="N16" s="5">
        <f t="shared" si="1"/>
        <v>3199.9999999999995</v>
      </c>
    </row>
    <row r="17" spans="1:14" ht="13.7" customHeight="1">
      <c r="A17" s="4" t="s">
        <v>50</v>
      </c>
      <c r="B17" s="5">
        <f>'Compte de résultat'!B18*0.2</f>
        <v>222.4</v>
      </c>
      <c r="C17" s="5">
        <f>'Compte de résultat'!C18*0.2</f>
        <v>324.8</v>
      </c>
      <c r="D17" s="5">
        <f>'Compte de résultat'!D18*0.2</f>
        <v>302.95999999999998</v>
      </c>
      <c r="E17" s="5">
        <f>'Compte de résultat'!E18*0.2</f>
        <v>384.56</v>
      </c>
      <c r="F17" s="5">
        <f>'Compte de résultat'!F18*0.2</f>
        <v>443.6</v>
      </c>
      <c r="G17" s="5">
        <f>'Compte de résultat'!G18*0.2</f>
        <v>492.8</v>
      </c>
      <c r="H17" s="5">
        <f>'Compte de résultat'!H18*0.2</f>
        <v>576.24000000000012</v>
      </c>
      <c r="I17" s="5">
        <f>'Compte de résultat'!I18*0.2</f>
        <v>715.2</v>
      </c>
      <c r="J17" s="5">
        <f>'Compte de résultat'!J18*0.2</f>
        <v>754.32</v>
      </c>
      <c r="K17" s="5">
        <f>'Compte de résultat'!K18*0.2</f>
        <v>932.64</v>
      </c>
      <c r="L17" s="5">
        <f>'Compte de résultat'!L18*0.2</f>
        <v>887.6</v>
      </c>
      <c r="M17" s="5">
        <f>'Compte de résultat'!M18*0.2</f>
        <v>1054</v>
      </c>
      <c r="N17" s="5">
        <f t="shared" si="1"/>
        <v>7091.1200000000008</v>
      </c>
    </row>
    <row r="18" spans="1:14" ht="13.7" customHeight="1">
      <c r="A18" s="4" t="s">
        <v>52</v>
      </c>
      <c r="B18" s="5">
        <f>'Compte de résultat'!B19*0.2</f>
        <v>55.6</v>
      </c>
      <c r="C18" s="5">
        <f>'Compte de résultat'!C19*0.2</f>
        <v>81.2</v>
      </c>
      <c r="D18" s="5">
        <f>'Compte de résultat'!D19*0.2</f>
        <v>75.739999999999995</v>
      </c>
      <c r="E18" s="5">
        <f>'Compte de résultat'!E19*0.2</f>
        <v>96.14</v>
      </c>
      <c r="F18" s="5">
        <f>'Compte de résultat'!F19*0.2</f>
        <v>110.9</v>
      </c>
      <c r="G18" s="5">
        <f>'Compte de résultat'!G19*0.2</f>
        <v>123.2</v>
      </c>
      <c r="H18" s="5">
        <f>'Compte de résultat'!H19*0.2</f>
        <v>144.06000000000003</v>
      </c>
      <c r="I18" s="5">
        <f>'Compte de résultat'!I19*0.2</f>
        <v>178.8</v>
      </c>
      <c r="J18" s="5">
        <f>'Compte de résultat'!J19*0.2</f>
        <v>188.58</v>
      </c>
      <c r="K18" s="5">
        <f>'Compte de résultat'!K19*0.2</f>
        <v>233.16</v>
      </c>
      <c r="L18" s="5">
        <f>'Compte de résultat'!L19*0.2</f>
        <v>221.9</v>
      </c>
      <c r="M18" s="5">
        <f>'Compte de résultat'!M19*0.2</f>
        <v>263.5</v>
      </c>
      <c r="N18" s="5">
        <f t="shared" si="1"/>
        <v>1772.7800000000002</v>
      </c>
    </row>
    <row r="19" spans="1:14" ht="13.7" customHeight="1">
      <c r="A19" s="4" t="s">
        <v>54</v>
      </c>
      <c r="B19" s="5">
        <f>'Compte de résultat'!B20*0.2</f>
        <v>200</v>
      </c>
      <c r="C19" s="5">
        <f>'Compte de résultat'!C20*0.2</f>
        <v>200</v>
      </c>
      <c r="D19" s="5">
        <f>'Compte de résultat'!D20*0.2</f>
        <v>200</v>
      </c>
      <c r="E19" s="5">
        <f>'Compte de résultat'!E20*0.2</f>
        <v>200</v>
      </c>
      <c r="F19" s="5">
        <f>'Compte de résultat'!F20*0.2</f>
        <v>200</v>
      </c>
      <c r="G19" s="5">
        <f>'Compte de résultat'!G20*0.2</f>
        <v>200</v>
      </c>
      <c r="H19" s="5">
        <f>'Compte de résultat'!H20*0.2</f>
        <v>200</v>
      </c>
      <c r="I19" s="5">
        <f>'Compte de résultat'!I20*0.2</f>
        <v>200</v>
      </c>
      <c r="J19" s="5">
        <f>'Compte de résultat'!J20*0.2</f>
        <v>200</v>
      </c>
      <c r="K19" s="5">
        <f>'Compte de résultat'!K20*0.2</f>
        <v>200</v>
      </c>
      <c r="L19" s="5">
        <f>'Compte de résultat'!L20*0.2</f>
        <v>200</v>
      </c>
      <c r="M19" s="5">
        <f>'Compte de résultat'!M20*0.2</f>
        <v>200</v>
      </c>
      <c r="N19" s="5">
        <f t="shared" si="1"/>
        <v>2400</v>
      </c>
    </row>
    <row r="20" spans="1:14" ht="13.7" customHeight="1">
      <c r="A20" s="4" t="s">
        <v>55</v>
      </c>
      <c r="B20" s="5">
        <f>'Compte de résultat'!B21*0.2</f>
        <v>266.66666666666669</v>
      </c>
      <c r="C20" s="5">
        <f>'Compte de résultat'!C21*0.2</f>
        <v>266.66666666666669</v>
      </c>
      <c r="D20" s="5">
        <f>'Compte de résultat'!D21*0.2</f>
        <v>266.66666666666669</v>
      </c>
      <c r="E20" s="5">
        <f>'Compte de résultat'!E21*0.2</f>
        <v>266.66666666666669</v>
      </c>
      <c r="F20" s="5">
        <f>'Compte de résultat'!F21*0.2</f>
        <v>266.66666666666669</v>
      </c>
      <c r="G20" s="5">
        <f>'Compte de résultat'!G21*0.2</f>
        <v>266.66666666666669</v>
      </c>
      <c r="H20" s="5">
        <f>'Compte de résultat'!H21*0.2</f>
        <v>266.66666666666669</v>
      </c>
      <c r="I20" s="5">
        <f>'Compte de résultat'!I21*0.2</f>
        <v>266.66666666666669</v>
      </c>
      <c r="J20" s="5">
        <f>'Compte de résultat'!J21*0.2</f>
        <v>266.66666666666669</v>
      </c>
      <c r="K20" s="5">
        <f>'Compte de résultat'!K21*0.2</f>
        <v>266.66666666666669</v>
      </c>
      <c r="L20" s="5">
        <f>'Compte de résultat'!L21*0.2</f>
        <v>266.66666666666669</v>
      </c>
      <c r="M20" s="5">
        <f>'Compte de résultat'!M21*0.2</f>
        <v>266.66666666666669</v>
      </c>
      <c r="N20" s="5">
        <f t="shared" si="1"/>
        <v>3199.9999999999995</v>
      </c>
    </row>
    <row r="21" spans="1:14" ht="13.7" customHeight="1">
      <c r="A21" s="19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3.7" customHeight="1">
      <c r="A22" s="4" t="s">
        <v>129</v>
      </c>
      <c r="B22" s="2"/>
      <c r="C22" s="2"/>
      <c r="D22" s="2"/>
      <c r="E22" s="2"/>
      <c r="F22" s="2"/>
      <c r="G22" s="5">
        <f>70000*0.2</f>
        <v>14000</v>
      </c>
      <c r="H22" s="2"/>
      <c r="I22" s="2"/>
      <c r="J22" s="2"/>
      <c r="K22" s="2"/>
      <c r="L22" s="2"/>
      <c r="M22" s="2"/>
      <c r="N22" s="5">
        <f>SUM(B22:M22)</f>
        <v>14000</v>
      </c>
    </row>
    <row r="23" spans="1:14" ht="13.7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3.7" customHeight="1">
      <c r="A24" s="22" t="s">
        <v>140</v>
      </c>
      <c r="B24" s="23">
        <f t="shared" ref="B24:M24" si="2">SUM(B13:B22)</f>
        <v>1542.9833333333333</v>
      </c>
      <c r="C24" s="23">
        <f t="shared" si="2"/>
        <v>1948.1833333333334</v>
      </c>
      <c r="D24" s="23">
        <f t="shared" si="2"/>
        <v>1972.1158333333335</v>
      </c>
      <c r="E24" s="23">
        <f t="shared" si="2"/>
        <v>2135.9908333333333</v>
      </c>
      <c r="F24" s="23">
        <f t="shared" si="2"/>
        <v>2340.4708333333333</v>
      </c>
      <c r="G24" s="23">
        <f t="shared" si="2"/>
        <v>16450.233333333334</v>
      </c>
      <c r="H24" s="23">
        <f t="shared" si="2"/>
        <v>2322.625833333333</v>
      </c>
      <c r="I24" s="23">
        <f t="shared" si="2"/>
        <v>2480.7333333333331</v>
      </c>
      <c r="J24" s="23">
        <f t="shared" si="2"/>
        <v>2784.310833333333</v>
      </c>
      <c r="K24" s="23">
        <f t="shared" si="2"/>
        <v>3091.1133333333332</v>
      </c>
      <c r="L24" s="23">
        <f t="shared" si="2"/>
        <v>2811.3208333333332</v>
      </c>
      <c r="M24" s="23">
        <f t="shared" si="2"/>
        <v>3323.7458333333329</v>
      </c>
      <c r="N24" s="5">
        <f>SUM(B24:M24)</f>
        <v>43203.827499999999</v>
      </c>
    </row>
    <row r="25" spans="1:14" ht="13.7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3.7" customHeight="1">
      <c r="A26" s="4" t="s">
        <v>141</v>
      </c>
      <c r="B26" s="5">
        <f>B9-B24</f>
        <v>2272.3500000000004</v>
      </c>
      <c r="C26" s="5">
        <f>C9-C24</f>
        <v>2604.8166666666666</v>
      </c>
      <c r="D26" s="5">
        <f>D9-D24</f>
        <v>1734.7341666666664</v>
      </c>
      <c r="E26" s="5">
        <f>E9-E24</f>
        <v>3248.3591666666671</v>
      </c>
      <c r="F26" s="5">
        <f>F9-F24</f>
        <v>3754.2791666666667</v>
      </c>
      <c r="G26" s="2"/>
      <c r="H26" s="2"/>
      <c r="I26" s="5">
        <f>I9-I24-1244</f>
        <v>10327.266666666666</v>
      </c>
      <c r="J26" s="5">
        <f>J9-J24</f>
        <v>10753.639166666668</v>
      </c>
      <c r="K26" s="5">
        <f>K9-K24</f>
        <v>14413.286666666669</v>
      </c>
      <c r="L26" s="5">
        <f>L9-L24</f>
        <v>14876.429166666667</v>
      </c>
      <c r="M26" s="5">
        <f>M9-M24</f>
        <v>16740.504166666666</v>
      </c>
      <c r="N26" s="5">
        <f>SUM(B26:M26)</f>
        <v>80725.665000000008</v>
      </c>
    </row>
  </sheetData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sujet</vt:lpstr>
      <vt:lpstr>Compte de résultat</vt:lpstr>
      <vt:lpstr>Budget de Trésorerie</vt:lpstr>
      <vt:lpstr>TVA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assa mikael</dc:creator>
  <cp:lastModifiedBy>mikael assa</cp:lastModifiedBy>
  <dcterms:created xsi:type="dcterms:W3CDTF">2017-03-31T11:36:46Z</dcterms:created>
  <dcterms:modified xsi:type="dcterms:W3CDTF">2017-04-18T08:21:26Z</dcterms:modified>
</cp:coreProperties>
</file>