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80" yWindow="75" windowWidth="10515" windowHeight="4695" firstSheet="7" activeTab="12"/>
  </bookViews>
  <sheets>
    <sheet name="DATACOM" sheetId="7" r:id="rId1"/>
    <sheet name="MODULATION DHEURES PAR PERIODE" sheetId="26" r:id="rId2"/>
    <sheet name="IMPLICATION DE L'ACTEUR MAJEUR" sheetId="41" r:id="rId3"/>
    <sheet name="REPARTITION DES HRS" sheetId="42" r:id="rId4"/>
    <sheet name="RENTABILITE PAR TX DOCCUP" sheetId="43" r:id="rId5"/>
    <sheet name="POINT MORT PAR CHIFFRE DAFF" sheetId="44" r:id="rId6"/>
    <sheet name="IMPLICATION CORRELATION ACT MAJ" sheetId="45" r:id="rId7"/>
    <sheet name="DATAFI" sheetId="27" r:id="rId8"/>
    <sheet name="CALCUL FORFAITAIRE" sheetId="28" r:id="rId9"/>
    <sheet name="BUSINESS PLAN" sheetId="29" r:id="rId10"/>
    <sheet name="INDICATEUR" sheetId="30" r:id="rId11"/>
    <sheet name="TABLEAU DE BORD" sheetId="46" r:id="rId12"/>
    <sheet name="turnover&quot;centraux" sheetId="47" r:id="rId13"/>
  </sheets>
  <externalReferences>
    <externalReference r:id="rId14"/>
  </externalReferences>
  <calcPr calcId="125725"/>
  <pivotCaches>
    <pivotCache cacheId="0" r:id="rId15"/>
    <pivotCache cacheId="1" r:id="rId16"/>
  </pivotCaches>
</workbook>
</file>

<file path=xl/calcChain.xml><?xml version="1.0" encoding="utf-8"?>
<calcChain xmlns="http://schemas.openxmlformats.org/spreadsheetml/2006/main">
  <c r="B5" i="47"/>
  <c r="C5"/>
  <c r="D5"/>
  <c r="E5"/>
  <c r="E4"/>
  <c r="D4"/>
  <c r="C4"/>
  <c r="B4"/>
  <c r="E2"/>
  <c r="E3" s="1"/>
  <c r="D3"/>
  <c r="D2"/>
  <c r="C2"/>
  <c r="C3" s="1"/>
  <c r="B3"/>
  <c r="B2"/>
  <c r="I13" i="27"/>
  <c r="H13"/>
  <c r="F13"/>
  <c r="D13"/>
  <c r="C13"/>
  <c r="B13"/>
  <c r="G13"/>
  <c r="D65" i="29"/>
  <c r="D47" s="1"/>
  <c r="H54"/>
  <c r="G54"/>
  <c r="F54"/>
  <c r="E54"/>
  <c r="D54"/>
  <c r="C54"/>
  <c r="C53"/>
  <c r="D53" s="1"/>
  <c r="E53" s="1"/>
  <c r="F53" s="1"/>
  <c r="G53" s="1"/>
  <c r="H53" s="1"/>
  <c r="B53"/>
  <c r="C52"/>
  <c r="D52" s="1"/>
  <c r="B51"/>
  <c r="H46"/>
  <c r="G46"/>
  <c r="F46"/>
  <c r="E46"/>
  <c r="D46"/>
  <c r="C46"/>
  <c r="C45"/>
  <c r="D45" s="1"/>
  <c r="E45" s="1"/>
  <c r="F45" s="1"/>
  <c r="G45" s="1"/>
  <c r="H45" s="1"/>
  <c r="B44"/>
  <c r="C44" s="1"/>
  <c r="D44" s="1"/>
  <c r="E44" s="1"/>
  <c r="F44" s="1"/>
  <c r="G44" s="1"/>
  <c r="H44" s="1"/>
  <c r="B43"/>
  <c r="B49" s="1"/>
  <c r="B40"/>
  <c r="B57" s="1"/>
  <c r="C31"/>
  <c r="C42" s="1"/>
  <c r="C61" s="1"/>
  <c r="D23"/>
  <c r="C22"/>
  <c r="D21"/>
  <c r="E21" s="1"/>
  <c r="F21" s="1"/>
  <c r="G21" s="1"/>
  <c r="H21" s="1"/>
  <c r="E20"/>
  <c r="F20" s="1"/>
  <c r="G20" s="1"/>
  <c r="H20" s="1"/>
  <c r="D20"/>
  <c r="G19"/>
  <c r="H19" s="1"/>
  <c r="E19"/>
  <c r="M18"/>
  <c r="F18"/>
  <c r="G18" s="1"/>
  <c r="E18"/>
  <c r="E65" s="1"/>
  <c r="E47" s="1"/>
  <c r="F17"/>
  <c r="G17" s="1"/>
  <c r="H17" s="1"/>
  <c r="E17"/>
  <c r="C17"/>
  <c r="C65" s="1"/>
  <c r="C47" s="1"/>
  <c r="E16"/>
  <c r="F16" s="1"/>
  <c r="G16" s="1"/>
  <c r="H16" s="1"/>
  <c r="C15"/>
  <c r="D15" s="1"/>
  <c r="E15" s="1"/>
  <c r="F15" s="1"/>
  <c r="G15" s="1"/>
  <c r="H15" s="1"/>
  <c r="L14"/>
  <c r="O14" s="1"/>
  <c r="C7" s="1"/>
  <c r="D7" s="1"/>
  <c r="E7" s="1"/>
  <c r="F7" s="1"/>
  <c r="G7" s="1"/>
  <c r="H7" s="1"/>
  <c r="E14"/>
  <c r="F14" s="1"/>
  <c r="G14" s="1"/>
  <c r="H14" s="1"/>
  <c r="D14"/>
  <c r="D13"/>
  <c r="E13" s="1"/>
  <c r="F13" s="1"/>
  <c r="G13" s="1"/>
  <c r="H13" s="1"/>
  <c r="E12"/>
  <c r="F12" s="1"/>
  <c r="G12" s="1"/>
  <c r="H12" s="1"/>
  <c r="D12"/>
  <c r="D11"/>
  <c r="E11" s="1"/>
  <c r="F11" s="1"/>
  <c r="G11" s="1"/>
  <c r="H11" s="1"/>
  <c r="C11"/>
  <c r="F8"/>
  <c r="G8" s="1"/>
  <c r="H8" s="1"/>
  <c r="E8"/>
  <c r="D8"/>
  <c r="C8"/>
  <c r="L6"/>
  <c r="M6" s="1"/>
  <c r="O6" s="1"/>
  <c r="L10" s="1"/>
  <c r="N10" s="1"/>
  <c r="C6" s="1"/>
  <c r="D4"/>
  <c r="D31" s="1"/>
  <c r="D42" s="1"/>
  <c r="D61" s="1"/>
  <c r="A1"/>
  <c r="A3" s="1"/>
  <c r="J21" i="28"/>
  <c r="J20"/>
  <c r="L19"/>
  <c r="L18"/>
  <c r="L17"/>
  <c r="L16"/>
  <c r="L15"/>
  <c r="L20" s="1"/>
  <c r="L21" s="1"/>
  <c r="P10"/>
  <c r="S10" s="1"/>
  <c r="J10"/>
  <c r="I10"/>
  <c r="S9"/>
  <c r="P9"/>
  <c r="J9"/>
  <c r="I9" s="1"/>
  <c r="S8"/>
  <c r="P8"/>
  <c r="J8"/>
  <c r="I8" s="1"/>
  <c r="P7"/>
  <c r="S7" s="1"/>
  <c r="M7"/>
  <c r="O7" s="1"/>
  <c r="J7"/>
  <c r="I7"/>
  <c r="P6"/>
  <c r="S6" s="1"/>
  <c r="O6"/>
  <c r="R6" s="1"/>
  <c r="M6"/>
  <c r="N6" s="1"/>
  <c r="L6"/>
  <c r="K6"/>
  <c r="K7" s="1"/>
  <c r="J6"/>
  <c r="I6"/>
  <c r="R5"/>
  <c r="O5"/>
  <c r="P5" s="1"/>
  <c r="S5" s="1"/>
  <c r="N5"/>
  <c r="L5"/>
  <c r="J5"/>
  <c r="I5"/>
  <c r="J13" i="27"/>
  <c r="P67" i="26"/>
  <c r="N67"/>
  <c r="L67"/>
  <c r="K67"/>
  <c r="O67" s="1"/>
  <c r="O40"/>
  <c r="N40"/>
  <c r="L40"/>
  <c r="P40" s="1"/>
  <c r="K40"/>
  <c r="P38"/>
  <c r="N38"/>
  <c r="L38"/>
  <c r="K38"/>
  <c r="O38" s="1"/>
  <c r="O36"/>
  <c r="N36"/>
  <c r="L36"/>
  <c r="P36" s="1"/>
  <c r="K36"/>
  <c r="P9"/>
  <c r="N9"/>
  <c r="L9"/>
  <c r="K9"/>
  <c r="O9" s="1"/>
  <c r="O7"/>
  <c r="N7"/>
  <c r="L7"/>
  <c r="P7" s="1"/>
  <c r="K7"/>
  <c r="P5"/>
  <c r="N5"/>
  <c r="L5"/>
  <c r="K5"/>
  <c r="O5" s="1"/>
  <c r="I2"/>
  <c r="E13" i="27" l="1"/>
  <c r="C10" i="29"/>
  <c r="D6"/>
  <c r="E52"/>
  <c r="E23"/>
  <c r="H18"/>
  <c r="H65" s="1"/>
  <c r="H47" s="1"/>
  <c r="G65"/>
  <c r="G47" s="1"/>
  <c r="B58"/>
  <c r="B59" s="1"/>
  <c r="E4"/>
  <c r="C51"/>
  <c r="F65"/>
  <c r="F47" s="1"/>
  <c r="Q7" i="28"/>
  <c r="R7"/>
  <c r="L7"/>
  <c r="K8"/>
  <c r="Q6"/>
  <c r="N7"/>
  <c r="M8"/>
  <c r="M20"/>
  <c r="J3" i="7"/>
  <c r="J4"/>
  <c r="J5"/>
  <c r="J6"/>
  <c r="J7"/>
  <c r="J8"/>
  <c r="J9"/>
  <c r="J10"/>
  <c r="J11"/>
  <c r="J12"/>
  <c r="J13"/>
  <c r="J14"/>
  <c r="J15"/>
  <c r="J2"/>
  <c r="G19"/>
  <c r="E6" i="29" l="1"/>
  <c r="D10"/>
  <c r="F23"/>
  <c r="F52" s="1"/>
  <c r="C63"/>
  <c r="C24"/>
  <c r="D22"/>
  <c r="D51"/>
  <c r="E31"/>
  <c r="E42" s="1"/>
  <c r="E61" s="1"/>
  <c r="F4"/>
  <c r="M9" i="28"/>
  <c r="N8"/>
  <c r="O8"/>
  <c r="L8"/>
  <c r="K9"/>
  <c r="G52" i="29" l="1"/>
  <c r="G23"/>
  <c r="E22"/>
  <c r="E51" s="1"/>
  <c r="C66"/>
  <c r="C55"/>
  <c r="F6"/>
  <c r="E10"/>
  <c r="C29"/>
  <c r="C25"/>
  <c r="C28"/>
  <c r="D24"/>
  <c r="D63"/>
  <c r="G4"/>
  <c r="F31"/>
  <c r="F42" s="1"/>
  <c r="F61" s="1"/>
  <c r="K10" i="28"/>
  <c r="L10" s="1"/>
  <c r="L9"/>
  <c r="N9"/>
  <c r="O9"/>
  <c r="M10"/>
  <c r="Q8"/>
  <c r="R8"/>
  <c r="F51" i="29" l="1"/>
  <c r="F22"/>
  <c r="E24"/>
  <c r="E63"/>
  <c r="C32"/>
  <c r="C40" s="1"/>
  <c r="C43"/>
  <c r="D28"/>
  <c r="D29" s="1"/>
  <c r="D32" s="1"/>
  <c r="D25"/>
  <c r="H23"/>
  <c r="H52" s="1"/>
  <c r="D55"/>
  <c r="D66"/>
  <c r="C67"/>
  <c r="C36" s="1"/>
  <c r="D67"/>
  <c r="D36" s="1"/>
  <c r="H4"/>
  <c r="H31" s="1"/>
  <c r="H42" s="1"/>
  <c r="H61" s="1"/>
  <c r="G31"/>
  <c r="G42" s="1"/>
  <c r="G61" s="1"/>
  <c r="G6"/>
  <c r="F10"/>
  <c r="N10" i="28"/>
  <c r="O10"/>
  <c r="R9"/>
  <c r="Q9"/>
  <c r="F24" i="29" l="1"/>
  <c r="F63"/>
  <c r="E55"/>
  <c r="E66"/>
  <c r="G22"/>
  <c r="G51" s="1"/>
  <c r="C57"/>
  <c r="C58" s="1"/>
  <c r="D40"/>
  <c r="D43"/>
  <c r="C49"/>
  <c r="G10"/>
  <c r="H6"/>
  <c r="E28"/>
  <c r="E29" s="1"/>
  <c r="E32" s="1"/>
  <c r="E25"/>
  <c r="E67"/>
  <c r="E36" s="1"/>
  <c r="R10" i="28"/>
  <c r="Q10"/>
  <c r="H22" i="29" l="1"/>
  <c r="H51" s="1"/>
  <c r="I6"/>
  <c r="H10"/>
  <c r="E40"/>
  <c r="D57"/>
  <c r="D58" s="1"/>
  <c r="D49"/>
  <c r="E43"/>
  <c r="F25"/>
  <c r="F28"/>
  <c r="F29" s="1"/>
  <c r="F32" s="1"/>
  <c r="F55"/>
  <c r="F66"/>
  <c r="G63"/>
  <c r="G24"/>
  <c r="C59"/>
  <c r="F67"/>
  <c r="F36" s="1"/>
  <c r="G29" l="1"/>
  <c r="G32" s="1"/>
  <c r="G25"/>
  <c r="G28"/>
  <c r="E49"/>
  <c r="F43"/>
  <c r="E57"/>
  <c r="E58" s="1"/>
  <c r="F40"/>
  <c r="D59"/>
  <c r="H24"/>
  <c r="H63"/>
  <c r="G66"/>
  <c r="G55"/>
  <c r="F49" l="1"/>
  <c r="G43"/>
  <c r="G67"/>
  <c r="G36" s="1"/>
  <c r="H55"/>
  <c r="H66"/>
  <c r="H67" s="1"/>
  <c r="H36" s="1"/>
  <c r="E59"/>
  <c r="H28"/>
  <c r="H29" s="1"/>
  <c r="H32" s="1"/>
  <c r="H25"/>
  <c r="F57"/>
  <c r="F58" s="1"/>
  <c r="G40"/>
  <c r="H43" l="1"/>
  <c r="H49" s="1"/>
  <c r="G49"/>
  <c r="H58"/>
  <c r="H59" s="1"/>
  <c r="G57"/>
  <c r="G58" s="1"/>
  <c r="H40"/>
  <c r="H57" s="1"/>
  <c r="F59"/>
  <c r="G59" l="1"/>
</calcChain>
</file>

<file path=xl/sharedStrings.xml><?xml version="1.0" encoding="utf-8"?>
<sst xmlns="http://schemas.openxmlformats.org/spreadsheetml/2006/main" count="431" uniqueCount="278">
  <si>
    <t>salles</t>
  </si>
  <si>
    <t>forfait</t>
  </si>
  <si>
    <t>Découverte</t>
  </si>
  <si>
    <t>Bronze</t>
  </si>
  <si>
    <t>Argent</t>
  </si>
  <si>
    <t>Vermeil</t>
  </si>
  <si>
    <t>Or</t>
  </si>
  <si>
    <t>Diamant</t>
  </si>
  <si>
    <t>prix forfait thérapeute</t>
  </si>
  <si>
    <t>nbres d'hrs minimales.</t>
  </si>
  <si>
    <t>nb jours/sem</t>
  </si>
  <si>
    <t>Étiquettes de lignes</t>
  </si>
  <si>
    <t>Total général</t>
  </si>
  <si>
    <t>Type de client</t>
  </si>
  <si>
    <t>Divers</t>
  </si>
  <si>
    <t>Entreprises</t>
  </si>
  <si>
    <t>Thérapeutes</t>
  </si>
  <si>
    <t>Nom du client</t>
  </si>
  <si>
    <t>Aaa</t>
  </si>
  <si>
    <t>bvv</t>
  </si>
  <si>
    <t>ccc</t>
  </si>
  <si>
    <t>ddd</t>
  </si>
  <si>
    <t>eee</t>
  </si>
  <si>
    <t>ssdss</t>
  </si>
  <si>
    <t>zeezz</t>
  </si>
  <si>
    <t>lforg</t>
  </si>
  <si>
    <t>desd</t>
  </si>
  <si>
    <t>rrre</t>
  </si>
  <si>
    <t>sszdf</t>
  </si>
  <si>
    <t>edrfv</t>
  </si>
  <si>
    <t>seftth</t>
  </si>
  <si>
    <t>Date de début d'occupation</t>
  </si>
  <si>
    <t>Date de fin d'occupation</t>
  </si>
  <si>
    <t>Disponibilité de la salle</t>
  </si>
  <si>
    <t>Nb jours d'occupation à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</si>
  <si>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</si>
  <si>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</si>
  <si>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</si>
  <si>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</si>
  <si>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</si>
  <si>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</si>
  <si>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</si>
  <si>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</si>
  <si>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</si>
  <si>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</si>
  <si>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</si>
  <si>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</si>
  <si>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</si>
  <si>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</si>
  <si>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+ de 4h</t>
  </si>
  <si>
    <t>+ d'un mois à l'avance</t>
  </si>
  <si>
    <t>Salles  de soins (10)</t>
  </si>
  <si>
    <t>+ de 7h</t>
  </si>
  <si>
    <t>+ de 2 mois à l'avance</t>
  </si>
  <si>
    <t>Lundi</t>
  </si>
  <si>
    <t>Mardi</t>
  </si>
  <si>
    <t>Mercredi</t>
  </si>
  <si>
    <t>Jeudi</t>
  </si>
  <si>
    <t>Vendredi</t>
  </si>
  <si>
    <t>Samedi</t>
  </si>
  <si>
    <t>Dimanche</t>
  </si>
  <si>
    <t>Salles de réunion (2)</t>
  </si>
  <si>
    <t>Nef</t>
  </si>
  <si>
    <t>PERIODE</t>
  </si>
  <si>
    <t>CA</t>
  </si>
  <si>
    <t xml:space="preserve">RENTABILITE </t>
  </si>
  <si>
    <t>THERAPEUTES</t>
  </si>
  <si>
    <t>POINT MORT</t>
  </si>
  <si>
    <t>TAUXOCCUP</t>
  </si>
  <si>
    <t>TOTAL HRS FORFAITAIRE A VENDRE /AN</t>
  </si>
  <si>
    <t>NBBRS HRS/CAB/AN</t>
  </si>
  <si>
    <t>NBRS JOURS/SEM</t>
  </si>
  <si>
    <t>NBRS HRS/JOURS</t>
  </si>
  <si>
    <t>SALLES</t>
  </si>
  <si>
    <t>JANVIER</t>
  </si>
  <si>
    <t>FÉVRIER</t>
  </si>
  <si>
    <t>MARS</t>
  </si>
  <si>
    <t>AVRIL</t>
  </si>
  <si>
    <t>MAI</t>
  </si>
  <si>
    <t>JUIN</t>
  </si>
  <si>
    <t>JUILLET</t>
  </si>
  <si>
    <t>OCTOBRE</t>
  </si>
  <si>
    <t>NOVEMBRE</t>
  </si>
  <si>
    <t>SOMME</t>
  </si>
  <si>
    <t> Nombre d'heures mini*</t>
  </si>
  <si>
    <t>Nombre d'heures maxi°°</t>
  </si>
  <si>
    <t> Montant facturé</t>
  </si>
  <si>
    <t>Montant facturé ttc </t>
  </si>
  <si>
    <t> Montant crédité***</t>
  </si>
  <si>
    <t> Remise (%)</t>
  </si>
  <si>
    <t>old ttc</t>
  </si>
  <si>
    <t>old ht</t>
  </si>
  <si>
    <t>new ht</t>
  </si>
  <si>
    <t>newttc</t>
  </si>
  <si>
    <t>new2ttc</t>
  </si>
  <si>
    <t>new2ht</t>
  </si>
  <si>
    <t>montant fact ttc</t>
  </si>
  <si>
    <t>montant credité ttc</t>
  </si>
  <si>
    <t>remise</t>
  </si>
  <si>
    <t>facturé ttc/mois sur 6 mois</t>
  </si>
  <si>
    <t>credité tttc/mois sur 6 mois</t>
  </si>
  <si>
    <t>Forfait</t>
  </si>
  <si>
    <t>ht.</t>
  </si>
  <si>
    <t>ht</t>
  </si>
  <si>
    <t> Découverte</t>
  </si>
  <si>
    <t>12,5 </t>
  </si>
  <si>
    <t>-</t>
  </si>
  <si>
    <t> Bronze</t>
  </si>
  <si>
    <t>31,25 </t>
  </si>
  <si>
    <t>3,12 </t>
  </si>
  <si>
    <t> Argent</t>
  </si>
  <si>
    <t>62,5 </t>
  </si>
  <si>
    <t>6,25 </t>
  </si>
  <si>
    <t> Vermeil</t>
  </si>
  <si>
    <t>125 </t>
  </si>
  <si>
    <t>9,37 </t>
  </si>
  <si>
    <t> Or</t>
  </si>
  <si>
    <t>250 </t>
  </si>
  <si>
    <t> 12,5</t>
  </si>
  <si>
    <t> Diamant</t>
  </si>
  <si>
    <t>500 </t>
  </si>
  <si>
    <t> 15,6</t>
  </si>
  <si>
    <t>remises sup</t>
  </si>
  <si>
    <t>montant %</t>
  </si>
  <si>
    <t>util %</t>
  </si>
  <si>
    <t>montant pondere</t>
  </si>
  <si>
    <t>h bleues</t>
  </si>
  <si>
    <t>h blanches</t>
  </si>
  <si>
    <t>resa 1 mois</t>
  </si>
  <si>
    <t>resa 2 mois</t>
  </si>
  <si>
    <t>periode creuse</t>
  </si>
  <si>
    <t>taux</t>
  </si>
  <si>
    <t>BUSINESS PLAN KHEPRI DEVELOPPEMENT</t>
  </si>
  <si>
    <t>MAD cellules</t>
  </si>
  <si>
    <t>15M</t>
  </si>
  <si>
    <t>12M</t>
  </si>
  <si>
    <t>Tx rempl</t>
  </si>
  <si>
    <t>cellules</t>
  </si>
  <si>
    <t>total h</t>
  </si>
  <si>
    <t>nbre h</t>
  </si>
  <si>
    <t>à vendre</t>
  </si>
  <si>
    <t>MAD cabines</t>
  </si>
  <si>
    <t>MAD salles conférence</t>
  </si>
  <si>
    <t>Comm sur CA thera</t>
  </si>
  <si>
    <t>Nombre de thérapeutes</t>
  </si>
  <si>
    <t>CA propre</t>
  </si>
  <si>
    <t>h/forfait</t>
  </si>
  <si>
    <t>nbre de f</t>
  </si>
  <si>
    <t>prix/f/an</t>
  </si>
  <si>
    <t>K€</t>
  </si>
  <si>
    <t>MAXI</t>
  </si>
  <si>
    <t>Total CA</t>
  </si>
  <si>
    <t>Location + charges</t>
  </si>
  <si>
    <t>Sous traitance salaires</t>
  </si>
  <si>
    <t>MAD salles</t>
  </si>
  <si>
    <t>Compatabilité</t>
  </si>
  <si>
    <t xml:space="preserve">prix </t>
  </si>
  <si>
    <t>Juridique</t>
  </si>
  <si>
    <t>AACE</t>
  </si>
  <si>
    <t>Marketing</t>
  </si>
  <si>
    <t>Commissions de portage salarial</t>
  </si>
  <si>
    <t>Rému chargée Eve</t>
  </si>
  <si>
    <t>salaires</t>
  </si>
  <si>
    <t>com</t>
  </si>
  <si>
    <t>Hôtesses</t>
  </si>
  <si>
    <t>Informaticien</t>
  </si>
  <si>
    <t>Entretien</t>
  </si>
  <si>
    <t>Diverses surprises</t>
  </si>
  <si>
    <t>Amort. Incorpo</t>
  </si>
  <si>
    <t>Amort. corpo</t>
  </si>
  <si>
    <t>REX</t>
  </si>
  <si>
    <t>REX%CA</t>
  </si>
  <si>
    <t>Except</t>
  </si>
  <si>
    <t>Frais fi</t>
  </si>
  <si>
    <t>IS</t>
  </si>
  <si>
    <t>RN</t>
  </si>
  <si>
    <t>MBA</t>
  </si>
  <si>
    <t>Compte courant +/-</t>
  </si>
  <si>
    <t>Capital +/-</t>
  </si>
  <si>
    <t>Dette fi +/-</t>
  </si>
  <si>
    <t>BFR+/-</t>
  </si>
  <si>
    <t>Immo incorpo</t>
  </si>
  <si>
    <t>Immo corpo</t>
  </si>
  <si>
    <t>Immo fi</t>
  </si>
  <si>
    <t>Disponibilités</t>
  </si>
  <si>
    <t>BILANS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</si>
  <si>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</si>
  <si>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</si>
  <si>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</si>
  <si>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</si>
  <si>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</si>
  <si>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</si>
  <si>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</si>
  <si>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Fi</t>
  </si>
  <si>
    <t>Stocks</t>
  </si>
  <si>
    <t>Clients</t>
  </si>
  <si>
    <t>Autres actifs</t>
  </si>
  <si>
    <t>Dispo</t>
  </si>
  <si>
    <t>total actif</t>
  </si>
  <si>
    <t>Check</t>
  </si>
  <si>
    <t>BFR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</si>
  <si>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</si>
  <si>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</si>
  <si>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</si>
  <si>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</si>
  <si>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</si>
  <si>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</si>
  <si>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</si>
  <si>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DESCRIPTION DE L'INDICATEUR</t>
  </si>
  <si>
    <t>CALCUL DE L'INDICATEUR</t>
  </si>
  <si>
    <t>SUIVI DE L'INDICATEUR</t>
  </si>
  <si>
    <t>NOM</t>
  </si>
  <si>
    <t>DESCRIPTION</t>
  </si>
  <si>
    <t>OBJECTIF</t>
  </si>
  <si>
    <t>FORMULE DE CALCUL</t>
  </si>
  <si>
    <t>UNITE</t>
  </si>
  <si>
    <t>FREQUENCE DE CALCUL</t>
  </si>
  <si>
    <t>SOURCE</t>
  </si>
  <si>
    <t>ETAT</t>
  </si>
  <si>
    <t>A STATUER</t>
  </si>
  <si>
    <t xml:space="preserve">THERAPEUTES </t>
  </si>
  <si>
    <t>thérapeutes ayant prit des forfaits</t>
  </si>
  <si>
    <t>apport dans le chiffres d'affaires</t>
  </si>
  <si>
    <t>%  de thérapeutes multiplié par  le chiffre daff/1000 sur 12 mois</t>
  </si>
  <si>
    <t>nombres</t>
  </si>
  <si>
    <t>trimestriel</t>
  </si>
  <si>
    <t>data sophro</t>
  </si>
  <si>
    <t>en cours</t>
  </si>
  <si>
    <t>a  statuer</t>
  </si>
  <si>
    <t>CHARGES</t>
  </si>
  <si>
    <t xml:space="preserve">dépenses effectuées par le centre </t>
  </si>
  <si>
    <t>toujours avoir en vue chaque dépense et leurs impact</t>
  </si>
  <si>
    <t>sommes dépenses effectuées</t>
  </si>
  <si>
    <t>euros</t>
  </si>
  <si>
    <t>validé</t>
  </si>
  <si>
    <t>vente à partir du quel le Chiffre d'Affaires est égal aux charges.</t>
  </si>
  <si>
    <t>prevenir a quel le moment de notre couverture et quelles mesures prendre</t>
  </si>
  <si>
    <t xml:space="preserve">confères  (data) sur 12 mois </t>
  </si>
  <si>
    <t>partition des heurs effectuer au centre et du travail effectué</t>
  </si>
  <si>
    <t>faire du mieux que possible de part nos mesure occuper les salles</t>
  </si>
  <si>
    <t xml:space="preserve">total heurs forfait/12 </t>
  </si>
  <si>
    <t>heurs</t>
  </si>
  <si>
    <t>à compléter</t>
  </si>
  <si>
    <t>RENTABILITE</t>
  </si>
  <si>
    <t>revenu obtenu par rapport au charges employées</t>
  </si>
  <si>
    <t>prevenir et prendre des dispotion pour notre retour financier</t>
  </si>
  <si>
    <t xml:space="preserve">CA/charges( sur 12 mois) </t>
  </si>
  <si>
    <t>TATL HRS/FORFAIT</t>
  </si>
  <si>
    <t>confères  (évaluation) sur 12 mois</t>
  </si>
  <si>
    <t>NBRS D'HRS DE CAB/SEM</t>
  </si>
  <si>
    <t>temps effectué dans chaque cabines du centre pour une semaine</t>
  </si>
  <si>
    <t>prevenir chaque moment(augmentation ou baisse)pour réssoudre</t>
  </si>
  <si>
    <t>(nbres de salles*nbre dheurs dans le cab/sem*365)/ 6/7(sur 12 mois)</t>
  </si>
  <si>
    <t xml:space="preserve">calcul </t>
  </si>
  <si>
    <t>Somme de THERAPEUTES</t>
  </si>
  <si>
    <t>Valeurs</t>
  </si>
  <si>
    <t>Somme de TOTAL HRS FORFAITAIRE A VENDRE /AN</t>
  </si>
  <si>
    <t>Somme de NBBRS HRS/CAB/AN</t>
  </si>
  <si>
    <t xml:space="preserve">Somme de RENTABILITE </t>
  </si>
  <si>
    <t>Somme de POINT MORT</t>
  </si>
  <si>
    <t>Somme de CA</t>
  </si>
  <si>
    <t>hypothèse chiffrées pour le forfait découvertes avec divers CA</t>
  </si>
  <si>
    <t>450*80=36000/mois</t>
  </si>
  <si>
    <t xml:space="preserve">therapeutes=(36000010)=36000/450)=80 thérapeutes a 450 euros par mois </t>
  </si>
  <si>
    <t>CA=360000/10= 36000</t>
  </si>
  <si>
    <t>Point Mort= 134592/10=13459</t>
  </si>
  <si>
    <t xml:space="preserve">Rentabilité: 360000-77600=282400 </t>
  </si>
  <si>
    <t>DECEMBRE</t>
  </si>
  <si>
    <t xml:space="preserve">TABLEAU DE BORD- FINANCIER DU CENTRE  </t>
  </si>
  <si>
    <t>1</t>
  </si>
  <si>
    <t>2</t>
  </si>
  <si>
    <t>1a</t>
  </si>
  <si>
    <t>2a</t>
  </si>
  <si>
    <t>Entité</t>
  </si>
  <si>
    <t>thérapeutes centraux /loyer</t>
  </si>
  <si>
    <t>thérapeutes centraux /an</t>
  </si>
  <si>
    <t xml:space="preserve">turnover / CA </t>
  </si>
  <si>
    <t>part du turnover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</si>
</sst>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name val="Calibri"/>
      <family val="2"/>
      <scheme val="minor"/>
    </font>
    <font>
      <b/>
      <sz val="14"/>
      <color theme="1"/>
      <name val="AR CENA"/>
    </font>
  </fonts>
  <fills count="2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theme="4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0" xfId="0" applyFont="1" applyFill="1" applyBorder="1"/>
    <xf numFmtId="0" fontId="0" fillId="3" borderId="11" xfId="0" applyFill="1" applyBorder="1"/>
    <xf numFmtId="0" fontId="0" fillId="4" borderId="11" xfId="0" applyFill="1" applyBorder="1"/>
    <xf numFmtId="1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 vertical="center"/>
    </xf>
    <xf numFmtId="9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8" fontId="0" fillId="0" borderId="0" xfId="0" applyNumberFormat="1"/>
    <xf numFmtId="0" fontId="3" fillId="0" borderId="0" xfId="0" applyFont="1"/>
    <xf numFmtId="0" fontId="3" fillId="10" borderId="13" xfId="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164" fontId="3" fillId="12" borderId="0" xfId="0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" fontId="3" fillId="12" borderId="0" xfId="0" applyNumberFormat="1" applyFont="1" applyFill="1" applyBorder="1" applyAlignment="1">
      <alignment horizontal="center" vertical="center"/>
    </xf>
    <xf numFmtId="0" fontId="0" fillId="12" borderId="0" xfId="0" applyFill="1"/>
    <xf numFmtId="0" fontId="7" fillId="13" borderId="12" xfId="0" applyFont="1" applyFill="1" applyBorder="1" applyAlignment="1">
      <alignment vertical="top" wrapText="1"/>
    </xf>
    <xf numFmtId="0" fontId="0" fillId="0" borderId="12" xfId="0" applyBorder="1" applyAlignment="1"/>
    <xf numFmtId="0" fontId="0" fillId="0" borderId="15" xfId="0" applyFill="1" applyBorder="1" applyAlignment="1">
      <alignment wrapText="1"/>
    </xf>
    <xf numFmtId="0" fontId="0" fillId="0" borderId="15" xfId="0" applyFill="1" applyBorder="1" applyAlignment="1"/>
    <xf numFmtId="0" fontId="0" fillId="0" borderId="0" xfId="0" applyAlignment="1"/>
    <xf numFmtId="0" fontId="7" fillId="14" borderId="12" xfId="0" applyFont="1" applyFill="1" applyBorder="1" applyAlignment="1">
      <alignment vertical="top" wrapText="1"/>
    </xf>
    <xf numFmtId="0" fontId="7" fillId="15" borderId="12" xfId="0" applyFont="1" applyFill="1" applyBorder="1" applyAlignment="1">
      <alignment vertical="top" wrapText="1"/>
    </xf>
    <xf numFmtId="0" fontId="0" fillId="0" borderId="12" xfId="0" applyBorder="1"/>
    <xf numFmtId="0" fontId="0" fillId="15" borderId="12" xfId="0" applyFill="1" applyBorder="1"/>
    <xf numFmtId="10" fontId="0" fillId="0" borderId="0" xfId="0" applyNumberFormat="1" applyAlignment="1">
      <alignment horizontal="right"/>
    </xf>
    <xf numFmtId="10" fontId="0" fillId="0" borderId="0" xfId="0" applyNumberFormat="1"/>
    <xf numFmtId="0" fontId="0" fillId="15" borderId="0" xfId="0" applyFill="1"/>
    <xf numFmtId="10" fontId="0" fillId="16" borderId="0" xfId="0" applyNumberFormat="1" applyFill="1"/>
    <xf numFmtId="10" fontId="0" fillId="17" borderId="0" xfId="0" applyNumberFormat="1" applyFill="1"/>
    <xf numFmtId="0" fontId="8" fillId="13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right" vertical="top" wrapText="1"/>
    </xf>
    <xf numFmtId="0" fontId="0" fillId="0" borderId="20" xfId="0" applyBorder="1"/>
    <xf numFmtId="0" fontId="7" fillId="14" borderId="19" xfId="0" applyFont="1" applyFill="1" applyBorder="1" applyAlignment="1">
      <alignment horizontal="right" vertical="top" wrapText="1"/>
    </xf>
    <xf numFmtId="10" fontId="0" fillId="0" borderId="12" xfId="0" applyNumberFormat="1" applyBorder="1" applyAlignment="1">
      <alignment horizontal="right"/>
    </xf>
    <xf numFmtId="10" fontId="0" fillId="0" borderId="12" xfId="0" applyNumberFormat="1" applyBorder="1"/>
    <xf numFmtId="0" fontId="7" fillId="13" borderId="21" xfId="0" applyFont="1" applyFill="1" applyBorder="1" applyAlignment="1">
      <alignment horizontal="right" vertical="top" wrapText="1"/>
    </xf>
    <xf numFmtId="10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6" fillId="0" borderId="0" xfId="0" applyFont="1"/>
    <xf numFmtId="0" fontId="6" fillId="0" borderId="12" xfId="0" applyFont="1" applyBorder="1"/>
    <xf numFmtId="0" fontId="6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4" xfId="0" applyBorder="1"/>
    <xf numFmtId="9" fontId="0" fillId="0" borderId="12" xfId="0" applyNumberFormat="1" applyBorder="1"/>
    <xf numFmtId="165" fontId="0" fillId="0" borderId="12" xfId="0" applyNumberFormat="1" applyBorder="1"/>
    <xf numFmtId="9" fontId="0" fillId="0" borderId="12" xfId="1" applyFont="1" applyFill="1" applyBorder="1"/>
    <xf numFmtId="9" fontId="0" fillId="15" borderId="12" xfId="0" applyNumberFormat="1" applyFill="1" applyBorder="1"/>
    <xf numFmtId="165" fontId="0" fillId="0" borderId="12" xfId="0" applyNumberFormat="1" applyFill="1" applyBorder="1"/>
    <xf numFmtId="165" fontId="0" fillId="15" borderId="12" xfId="0" applyNumberFormat="1" applyFill="1" applyBorder="1"/>
    <xf numFmtId="0" fontId="0" fillId="0" borderId="12" xfId="0" applyFill="1" applyBorder="1" applyAlignment="1">
      <alignment horizontal="right"/>
    </xf>
    <xf numFmtId="0" fontId="6" fillId="0" borderId="24" xfId="0" applyFont="1" applyBorder="1"/>
    <xf numFmtId="165" fontId="6" fillId="0" borderId="12" xfId="0" applyNumberFormat="1" applyFont="1" applyBorder="1"/>
    <xf numFmtId="1" fontId="0" fillId="15" borderId="12" xfId="0" applyNumberFormat="1" applyFill="1" applyBorder="1"/>
    <xf numFmtId="1" fontId="0" fillId="0" borderId="12" xfId="0" applyNumberFormat="1" applyBorder="1"/>
    <xf numFmtId="0" fontId="0" fillId="0" borderId="12" xfId="0" applyFill="1" applyBorder="1"/>
    <xf numFmtId="9" fontId="0" fillId="0" borderId="0" xfId="0" applyNumberFormat="1" applyFill="1" applyBorder="1"/>
    <xf numFmtId="0" fontId="0" fillId="0" borderId="0" xfId="0" applyFill="1" applyBorder="1"/>
    <xf numFmtId="0" fontId="6" fillId="0" borderId="12" xfId="0" applyFont="1" applyFill="1" applyBorder="1"/>
    <xf numFmtId="9" fontId="6" fillId="0" borderId="12" xfId="1" applyFont="1" applyBorder="1"/>
    <xf numFmtId="1" fontId="6" fillId="0" borderId="12" xfId="0" applyNumberFormat="1" applyFont="1" applyBorder="1"/>
    <xf numFmtId="165" fontId="0" fillId="0" borderId="0" xfId="0" applyNumberFormat="1"/>
    <xf numFmtId="0" fontId="0" fillId="12" borderId="12" xfId="0" applyFill="1" applyBorder="1"/>
    <xf numFmtId="0" fontId="0" fillId="18" borderId="12" xfId="0" applyFill="1" applyBorder="1"/>
    <xf numFmtId="0" fontId="9" fillId="12" borderId="27" xfId="0" applyFont="1" applyFill="1" applyBorder="1"/>
    <xf numFmtId="42" fontId="0" fillId="19" borderId="0" xfId="3" applyNumberFormat="1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19" borderId="0" xfId="0" applyFill="1"/>
    <xf numFmtId="8" fontId="3" fillId="6" borderId="12" xfId="0" applyNumberFormat="1" applyFont="1" applyFill="1" applyBorder="1" applyAlignment="1">
      <alignment horizontal="center"/>
    </xf>
    <xf numFmtId="10" fontId="3" fillId="6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8" fontId="0" fillId="5" borderId="12" xfId="0" applyNumberFormat="1" applyFill="1" applyBorder="1" applyAlignment="1">
      <alignment horizontal="center"/>
    </xf>
    <xf numFmtId="8" fontId="0" fillId="8" borderId="12" xfId="0" applyNumberFormat="1" applyFill="1" applyBorder="1" applyAlignment="1">
      <alignment horizontal="center"/>
    </xf>
    <xf numFmtId="10" fontId="0" fillId="5" borderId="12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6" fontId="0" fillId="8" borderId="12" xfId="0" applyNumberFormat="1" applyFill="1" applyBorder="1" applyAlignment="1">
      <alignment horizontal="center"/>
    </xf>
    <xf numFmtId="6" fontId="3" fillId="6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6" fontId="0" fillId="5" borderId="12" xfId="0" applyNumberForma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7" fillId="13" borderId="12" xfId="0" applyFont="1" applyFill="1" applyBorder="1" applyAlignment="1">
      <alignment vertical="top" wrapText="1"/>
    </xf>
    <xf numFmtId="0" fontId="0" fillId="0" borderId="24" xfId="0" applyBorder="1"/>
    <xf numFmtId="0" fontId="0" fillId="0" borderId="26" xfId="0" applyBorder="1"/>
    <xf numFmtId="0" fontId="0" fillId="15" borderId="24" xfId="0" applyFill="1" applyBorder="1"/>
    <xf numFmtId="0" fontId="0" fillId="15" borderId="25" xfId="0" applyFill="1" applyBorder="1"/>
    <xf numFmtId="0" fontId="0" fillId="15" borderId="26" xfId="0" applyFill="1" applyBorder="1"/>
    <xf numFmtId="0" fontId="0" fillId="12" borderId="24" xfId="0" applyFill="1" applyBorder="1"/>
    <xf numFmtId="0" fontId="0" fillId="12" borderId="26" xfId="0" applyFill="1" applyBorder="1"/>
    <xf numFmtId="0" fontId="0" fillId="12" borderId="12" xfId="0" applyFill="1" applyBorder="1"/>
    <xf numFmtId="0" fontId="10" fillId="19" borderId="0" xfId="0" applyFont="1" applyFill="1"/>
    <xf numFmtId="0" fontId="0" fillId="20" borderId="0" xfId="0" applyFill="1"/>
    <xf numFmtId="0" fontId="0" fillId="21" borderId="0" xfId="0" applyNumberFormat="1" applyFill="1"/>
    <xf numFmtId="0" fontId="0" fillId="22" borderId="0" xfId="0" applyNumberFormat="1" applyFill="1"/>
    <xf numFmtId="0" fontId="0" fillId="23" borderId="0" xfId="0" applyNumberFormat="1" applyFill="1"/>
    <xf numFmtId="0" fontId="0" fillId="19" borderId="0" xfId="0" applyNumberFormat="1" applyFill="1"/>
  </cellXfs>
  <cellStyles count="4">
    <cellStyle name="Insatisfaisant" xfId="2" builtinId="27"/>
    <cellStyle name="Monétaire" xfId="3" builtinId="4"/>
    <cellStyle name="Normal" xfId="0" builtinId="0"/>
    <cellStyle name="Pourcentage" xfId="1" builtinId="5"/>
  </cellStyles>
  <dxfs count="20">
    <dxf>
      <numFmt numFmtId="0" formatCode="General"/>
      <fill>
        <patternFill patternType="solid">
          <fgColor indexed="64"/>
          <bgColor theme="9" tint="-0.249977111117893"/>
        </patternFill>
      </fill>
    </dxf>
    <dxf>
      <numFmt numFmtId="0" formatCode="General"/>
      <fill>
        <patternFill patternType="solid">
          <fgColor indexed="64"/>
          <bgColor theme="8" tint="0.39997558519241921"/>
        </patternFill>
      </fill>
    </dxf>
    <dxf>
      <numFmt numFmtId="0" formatCode="General"/>
      <fill>
        <patternFill patternType="solid">
          <fgColor indexed="64"/>
          <bgColor theme="7" tint="0.39997558519241921"/>
        </patternFill>
      </fill>
    </dxf>
    <dxf>
      <numFmt numFmtId="0" formatCode="General"/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2" tint="-0.499984740745262"/>
        </patternFill>
      </fill>
    </dxf>
    <dxf>
      <numFmt numFmtId="0" formatCode="General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1" formatCode="0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numFmt numFmtId="166" formatCode="#,##0\ [$€-40C];\-#,##0\ [$€-40C]"/>
    </dxf>
    <dxf>
      <numFmt numFmtId="0" formatCode="General"/>
    </dxf>
    <dxf>
      <numFmt numFmtId="0" formatCode="General"/>
      <alignment horizontal="center" vertical="center" textRotation="0" wrapText="0" indent="0" relativeIndent="255" justifyLastLine="0" shrinkToFit="0" mergeCell="0" readingOrder="0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DE L'ACTEUR MAJEUR!Tableau croisé dynamique2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 baseline="0"/>
              <a:t> IMPLICATION DES THERAPEUTES DANS LA REPARTITION DU CHIFFRE D'AFFAIRE</a:t>
            </a:r>
            <a:endParaRPr lang="fr-FR"/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</c:dLbl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'IMPLICATION DE L''ACTEUR MAJEUR'!$B$3:$B$4</c:f>
              <c:strCache>
                <c:ptCount val="1"/>
                <c:pt idx="0">
                  <c:v>Somme de THERAPEUTES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MAJEUR'!$B$5:$B$25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1"/>
          <c:order val="1"/>
          <c:tx>
            <c:strRef>
              <c:f>'IMPLICATION DE L''ACTEUR MAJEUR'!$C$3:$C$4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ser>
          <c:idx val="2"/>
          <c:order val="2"/>
          <c:tx>
            <c:strRef>
              <c:f>'IMPLICATION DE L''ACTEUR MAJEUR'!$D$3:$D$4</c:f>
              <c:strCache>
                <c:ptCount val="1"/>
                <c:pt idx="0">
                  <c:v>Somme de CA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MAJEUR'!$D$5:$D$25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hape val="cylinder"/>
        <c:axId val="101860480"/>
        <c:axId val="101862016"/>
        <c:axId val="101252608"/>
      </c:bar3DChart>
      <c:catAx>
        <c:axId val="101860480"/>
        <c:scaling>
          <c:orientation val="minMax"/>
        </c:scaling>
        <c:axPos val="b"/>
        <c:majorTickMark val="none"/>
        <c:tickLblPos val="nextTo"/>
        <c:crossAx val="101862016"/>
        <c:crosses val="autoZero"/>
        <c:auto val="1"/>
        <c:lblAlgn val="ctr"/>
        <c:lblOffset val="100"/>
      </c:catAx>
      <c:valAx>
        <c:axId val="1018620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1860480"/>
        <c:crosses val="autoZero"/>
        <c:crossBetween val="between"/>
      </c:valAx>
      <c:serAx>
        <c:axId val="101252608"/>
        <c:scaling>
          <c:orientation val="minMax"/>
        </c:scaling>
        <c:delete val="1"/>
        <c:axPos val="b"/>
        <c:tickLblPos val="none"/>
        <c:crossAx val="101862016"/>
        <c:crosses val="autoZero"/>
      </c:ser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CORRELATION ACT MAJ!Tableau croisé dynamique6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MOTEURS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</a:t>
            </a:r>
          </a:p>
          <a:p>
            <a:pPr>
              <a:defRPr/>
            </a:pPr>
            <a:r>
              <a:rPr lang="fr-FR" sz="1800" b="1" i="0" baseline="0"/>
              <a:t> thépareutes </a:t>
            </a:r>
          </a:p>
          <a:p>
            <a:pPr>
              <a:defRPr/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dLbl>
          <c:idx val="0"/>
          <c:layout>
            <c:manualLayout>
              <c:x val="1.2954111742167901E-2"/>
              <c:y val="2.1598639455782307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0363289393734319E-2"/>
              <c:y val="1.7998866213151929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1.0363289393734319E-2"/>
              <c:y val="2.5198412698412689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9.7155838066259291E-3"/>
              <c:y val="3.5997732426303893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1010994980842698E-2"/>
              <c:y val="3.5997732426303893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8.4201726324091321E-3"/>
              <c:y val="3.959750566893424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9.7155838066259291E-3"/>
              <c:y val="4.6797052154195024E-2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9.7155838066259291E-3"/>
              <c:y val="5.0396825396825426E-2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669674271529004E-3"/>
              <c:y val="5.7596371882086224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0"/>
              <c:y val="6.479591836734698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-4.1741856788225064E-3"/>
              <c:y val="5.3996598639455794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-5.0090228145870134E-3"/>
              <c:y val="5.3996598639455794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-5.8438599503515152E-3"/>
              <c:y val="4.3197278911564649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-5.0090228145870134E-3"/>
              <c:y val="5.7596371882086224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-8.3483713576450735E-3"/>
              <c:y val="5.3996598639455794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5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26"/>
        <c:dLbl>
          <c:idx val="0"/>
          <c:layout>
            <c:manualLayout>
              <c:x val="-1.669674271529004E-3"/>
              <c:y val="5.7596371882086224E-2"/>
            </c:manualLayout>
          </c:layout>
          <c:showVal val="1"/>
        </c:dLbl>
      </c:pivotFmt>
      <c:pivotFmt>
        <c:idx val="27"/>
        <c:dLbl>
          <c:idx val="0"/>
          <c:layout>
            <c:manualLayout>
              <c:x val="0"/>
              <c:y val="6.479591836734698E-2"/>
            </c:manualLayout>
          </c:layout>
          <c:showVal val="1"/>
        </c:dLbl>
      </c:pivotFmt>
      <c:pivotFmt>
        <c:idx val="28"/>
        <c:dLbl>
          <c:idx val="0"/>
          <c:layout>
            <c:manualLayout>
              <c:x val="-4.1741856788225064E-3"/>
              <c:y val="5.3996598639455794E-2"/>
            </c:manualLayout>
          </c:layout>
          <c:showVal val="1"/>
        </c:dLbl>
      </c:pivotFmt>
      <c:pivotFmt>
        <c:idx val="29"/>
        <c:dLbl>
          <c:idx val="0"/>
          <c:layout>
            <c:manualLayout>
              <c:x val="-5.0090228145870134E-3"/>
              <c:y val="5.3996598639455794E-2"/>
            </c:manualLayout>
          </c:layout>
          <c:showVal val="1"/>
        </c:dLbl>
      </c:pivotFmt>
      <c:pivotFmt>
        <c:idx val="30"/>
        <c:dLbl>
          <c:idx val="0"/>
          <c:layout>
            <c:manualLayout>
              <c:x val="-5.8438599503515152E-3"/>
              <c:y val="4.3197278911564649E-2"/>
            </c:manualLayout>
          </c:layout>
          <c:showVal val="1"/>
        </c:dLbl>
      </c:pivotFmt>
      <c:pivotFmt>
        <c:idx val="31"/>
        <c:dLbl>
          <c:idx val="0"/>
          <c:layout>
            <c:manualLayout>
              <c:x val="-5.0090228145870134E-3"/>
              <c:y val="5.7596371882086224E-2"/>
            </c:manualLayout>
          </c:layout>
          <c:showVal val="1"/>
        </c:dLbl>
      </c:pivotFmt>
      <c:pivotFmt>
        <c:idx val="32"/>
        <c:dLbl>
          <c:idx val="0"/>
          <c:layout>
            <c:manualLayout>
              <c:x val="-8.3483713576450735E-3"/>
              <c:y val="5.3996598639455794E-2"/>
            </c:manualLayout>
          </c:layout>
          <c:showVal val="1"/>
        </c:dLbl>
      </c:pivotFmt>
      <c:pivotFmt>
        <c:idx val="33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34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3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7"/>
        <c:dLbl>
          <c:idx val="0"/>
          <c:layout>
            <c:manualLayout>
              <c:x val="1.2954111742167901E-2"/>
              <c:y val="2.1598639455782307E-2"/>
            </c:manualLayout>
          </c:layout>
          <c:showVal val="1"/>
        </c:dLbl>
      </c:pivotFmt>
      <c:pivotFmt>
        <c:idx val="38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39"/>
        <c:dLbl>
          <c:idx val="0"/>
          <c:layout>
            <c:manualLayout>
              <c:x val="1.0363289393734319E-2"/>
              <c:y val="1.7998866213151929E-2"/>
            </c:manualLayout>
          </c:layout>
          <c:showVal val="1"/>
        </c:dLbl>
      </c:pivotFmt>
      <c:pivotFmt>
        <c:idx val="40"/>
        <c:dLbl>
          <c:idx val="0"/>
          <c:layout>
            <c:manualLayout>
              <c:x val="1.0363289393734319E-2"/>
              <c:y val="2.5198412698412689E-2"/>
            </c:manualLayout>
          </c:layout>
          <c:showVal val="1"/>
        </c:dLbl>
      </c:pivotFmt>
      <c:pivotFmt>
        <c:idx val="41"/>
        <c:dLbl>
          <c:idx val="0"/>
          <c:layout>
            <c:manualLayout>
              <c:x val="9.7155838066259291E-3"/>
              <c:y val="3.5997732426303893E-2"/>
            </c:manualLayout>
          </c:layout>
          <c:showVal val="1"/>
        </c:dLbl>
      </c:pivotFmt>
      <c:pivotFmt>
        <c:idx val="42"/>
        <c:dLbl>
          <c:idx val="0"/>
          <c:layout>
            <c:manualLayout>
              <c:x val="1.1010994980842698E-2"/>
              <c:y val="3.5997732426303893E-2"/>
            </c:manualLayout>
          </c:layout>
          <c:showVal val="1"/>
        </c:dLbl>
      </c:pivotFmt>
      <c:pivotFmt>
        <c:idx val="43"/>
        <c:dLbl>
          <c:idx val="0"/>
          <c:layout>
            <c:manualLayout>
              <c:x val="8.4201726324091321E-3"/>
              <c:y val="3.9597505668934246E-2"/>
            </c:manualLayout>
          </c:layout>
          <c:showVal val="1"/>
        </c:dLbl>
      </c:pivotFmt>
      <c:pivotFmt>
        <c:idx val="44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45"/>
        <c:dLbl>
          <c:idx val="0"/>
          <c:layout>
            <c:manualLayout>
              <c:x val="9.7155838066259291E-3"/>
              <c:y val="4.6797052154195024E-2"/>
            </c:manualLayout>
          </c:layout>
          <c:showVal val="1"/>
        </c:dLbl>
      </c:pivotFmt>
      <c:pivotFmt>
        <c:idx val="46"/>
        <c:dLbl>
          <c:idx val="0"/>
          <c:layout>
            <c:manualLayout>
              <c:x val="9.7155838066259291E-3"/>
              <c:y val="5.0396825396825426E-2"/>
            </c:manualLayout>
          </c:layout>
          <c:showVal val="1"/>
        </c:dLbl>
      </c:pivotFmt>
      <c:pivotFmt>
        <c:idx val="4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9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50"/>
        <c:dLbl>
          <c:idx val="0"/>
          <c:layout>
            <c:manualLayout>
              <c:x val="-1.669674271529004E-3"/>
              <c:y val="5.7596371882086224E-2"/>
            </c:manualLayout>
          </c:layout>
          <c:showVal val="1"/>
        </c:dLbl>
      </c:pivotFmt>
      <c:pivotFmt>
        <c:idx val="51"/>
        <c:dLbl>
          <c:idx val="0"/>
          <c:layout>
            <c:manualLayout>
              <c:x val="0"/>
              <c:y val="6.479591836734698E-2"/>
            </c:manualLayout>
          </c:layout>
          <c:showVal val="1"/>
        </c:dLbl>
      </c:pivotFmt>
      <c:pivotFmt>
        <c:idx val="52"/>
        <c:dLbl>
          <c:idx val="0"/>
          <c:layout>
            <c:manualLayout>
              <c:x val="-4.1741856788225064E-3"/>
              <c:y val="5.3996598639455794E-2"/>
            </c:manualLayout>
          </c:layout>
          <c:showVal val="1"/>
        </c:dLbl>
      </c:pivotFmt>
      <c:pivotFmt>
        <c:idx val="53"/>
        <c:dLbl>
          <c:idx val="0"/>
          <c:layout>
            <c:manualLayout>
              <c:x val="-5.0090228145870134E-3"/>
              <c:y val="5.3996598639455794E-2"/>
            </c:manualLayout>
          </c:layout>
          <c:showVal val="1"/>
        </c:dLbl>
      </c:pivotFmt>
      <c:pivotFmt>
        <c:idx val="54"/>
        <c:dLbl>
          <c:idx val="0"/>
          <c:layout>
            <c:manualLayout>
              <c:x val="-5.8438599503515152E-3"/>
              <c:y val="4.3197278911564649E-2"/>
            </c:manualLayout>
          </c:layout>
          <c:showVal val="1"/>
        </c:dLbl>
      </c:pivotFmt>
      <c:pivotFmt>
        <c:idx val="55"/>
        <c:dLbl>
          <c:idx val="0"/>
          <c:layout>
            <c:manualLayout>
              <c:x val="-5.0090228145870134E-3"/>
              <c:y val="5.7596371882086224E-2"/>
            </c:manualLayout>
          </c:layout>
          <c:showVal val="1"/>
        </c:dLbl>
      </c:pivotFmt>
      <c:pivotFmt>
        <c:idx val="56"/>
        <c:dLbl>
          <c:idx val="0"/>
          <c:layout>
            <c:manualLayout>
              <c:x val="-8.3483713576450735E-3"/>
              <c:y val="5.3996598639455794E-2"/>
            </c:manualLayout>
          </c:layout>
          <c:showVal val="1"/>
        </c:dLbl>
      </c:pivotFmt>
      <c:pivotFmt>
        <c:idx val="57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58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5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1"/>
        <c:dLbl>
          <c:idx val="0"/>
          <c:layout>
            <c:manualLayout>
              <c:x val="1.2954111742167901E-2"/>
              <c:y val="2.1598639455782307E-2"/>
            </c:manualLayout>
          </c:layout>
          <c:showVal val="1"/>
        </c:dLbl>
      </c:pivotFmt>
      <c:pivotFmt>
        <c:idx val="62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63"/>
        <c:dLbl>
          <c:idx val="0"/>
          <c:layout>
            <c:manualLayout>
              <c:x val="1.0363289393734319E-2"/>
              <c:y val="1.7998866213151929E-2"/>
            </c:manualLayout>
          </c:layout>
          <c:showVal val="1"/>
        </c:dLbl>
      </c:pivotFmt>
      <c:pivotFmt>
        <c:idx val="64"/>
        <c:dLbl>
          <c:idx val="0"/>
          <c:layout>
            <c:manualLayout>
              <c:x val="1.0363289393734319E-2"/>
              <c:y val="2.5198412698412689E-2"/>
            </c:manualLayout>
          </c:layout>
          <c:showVal val="1"/>
        </c:dLbl>
      </c:pivotFmt>
      <c:pivotFmt>
        <c:idx val="65"/>
        <c:dLbl>
          <c:idx val="0"/>
          <c:layout>
            <c:manualLayout>
              <c:x val="9.7155838066259291E-3"/>
              <c:y val="3.5997732426303893E-2"/>
            </c:manualLayout>
          </c:layout>
          <c:showVal val="1"/>
        </c:dLbl>
      </c:pivotFmt>
      <c:pivotFmt>
        <c:idx val="66"/>
        <c:dLbl>
          <c:idx val="0"/>
          <c:layout>
            <c:manualLayout>
              <c:x val="1.1010994980842698E-2"/>
              <c:y val="3.5997732426303893E-2"/>
            </c:manualLayout>
          </c:layout>
          <c:showVal val="1"/>
        </c:dLbl>
      </c:pivotFmt>
      <c:pivotFmt>
        <c:idx val="67"/>
        <c:dLbl>
          <c:idx val="0"/>
          <c:layout>
            <c:manualLayout>
              <c:x val="8.4201726324091321E-3"/>
              <c:y val="3.9597505668934246E-2"/>
            </c:manualLayout>
          </c:layout>
          <c:showVal val="1"/>
        </c:dLbl>
      </c:pivotFmt>
      <c:pivotFmt>
        <c:idx val="68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69"/>
        <c:dLbl>
          <c:idx val="0"/>
          <c:layout>
            <c:manualLayout>
              <c:x val="9.7155838066259291E-3"/>
              <c:y val="4.6797052154195024E-2"/>
            </c:manualLayout>
          </c:layout>
          <c:showVal val="1"/>
        </c:dLbl>
      </c:pivotFmt>
      <c:pivotFmt>
        <c:idx val="70"/>
        <c:dLbl>
          <c:idx val="0"/>
          <c:layout>
            <c:manualLayout>
              <c:x val="9.7155838066259291E-3"/>
              <c:y val="5.0396825396825426E-2"/>
            </c:manualLayout>
          </c:layout>
          <c:showVal val="1"/>
        </c:dLbl>
      </c:pivotFmt>
      <c:pivotFmt>
        <c:idx val="7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7.1121187672552558E-2"/>
          <c:y val="0.51732361812982364"/>
          <c:w val="0.65083380141684655"/>
          <c:h val="0.26227633486112728"/>
        </c:manualLayout>
      </c:layout>
      <c:bar3DChart>
        <c:barDir val="col"/>
        <c:grouping val="clustered"/>
        <c:ser>
          <c:idx val="0"/>
          <c:order val="0"/>
          <c:tx>
            <c:strRef>
              <c:f>'IMPLICATION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5.3996598639455794E-2"/>
                </c:manualLayout>
              </c:layout>
              <c:showVal val="1"/>
            </c:dLbl>
            <c:dLbl>
              <c:idx val="1"/>
              <c:layout>
                <c:manualLayout>
                  <c:x val="-1.669674271529004E-3"/>
                  <c:y val="5.759637188208622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479591836734698E-2"/>
                </c:manualLayout>
              </c:layout>
              <c:showVal val="1"/>
            </c:dLbl>
            <c:dLbl>
              <c:idx val="3"/>
              <c:layout>
                <c:manualLayout>
                  <c:x val="-4.1741856788225064E-3"/>
                  <c:y val="5.3996598639455794E-2"/>
                </c:manualLayout>
              </c:layout>
              <c:showVal val="1"/>
            </c:dLbl>
            <c:dLbl>
              <c:idx val="4"/>
              <c:layout>
                <c:manualLayout>
                  <c:x val="-5.0090228145870134E-3"/>
                  <c:y val="5.3996598639455794E-2"/>
                </c:manualLayout>
              </c:layout>
              <c:showVal val="1"/>
            </c:dLbl>
            <c:dLbl>
              <c:idx val="5"/>
              <c:layout>
                <c:manualLayout>
                  <c:x val="-5.8438599503515152E-3"/>
                  <c:y val="4.3197278911564649E-2"/>
                </c:manualLayout>
              </c:layout>
              <c:showVal val="1"/>
            </c:dLbl>
            <c:dLbl>
              <c:idx val="6"/>
              <c:layout>
                <c:manualLayout>
                  <c:x val="-5.0090228145870134E-3"/>
                  <c:y val="5.7596371882086224E-2"/>
                </c:manualLayout>
              </c:layout>
              <c:showVal val="1"/>
            </c:dLbl>
            <c:dLbl>
              <c:idx val="7"/>
              <c:layout>
                <c:manualLayout>
                  <c:x val="-8.3483713576450735E-3"/>
                  <c:y val="5.3996598639455794E-2"/>
                </c:manualLayout>
              </c:layout>
              <c:showVal val="1"/>
            </c:dLbl>
            <c:dLbl>
              <c:idx val="8"/>
              <c:layout>
                <c:manualLayout>
                  <c:x val="-9.1832084934095806E-3"/>
                  <c:y val="5.3996598639455794E-2"/>
                </c:manualLayout>
              </c:layout>
              <c:showVal val="1"/>
            </c:dLbl>
            <c:dLbl>
              <c:idx val="9"/>
              <c:layout>
                <c:manualLayout>
                  <c:x val="-9.1832084934095198E-3"/>
                  <c:y val="6.1196145124716564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MAJ'!$B$5:$B$15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ser>
          <c:idx val="1"/>
          <c:order val="1"/>
          <c:tx>
            <c:strRef>
              <c:f>'IMPLICATION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MAJ'!$C$5:$C$15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2"/>
          <c:order val="2"/>
          <c:tx>
            <c:strRef>
              <c:f>'IMPLICATION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1.2954111742167901E-2"/>
                  <c:y val="2.1598639455782307E-2"/>
                </c:manualLayout>
              </c:layout>
              <c:showVal val="1"/>
            </c:dLbl>
            <c:dLbl>
              <c:idx val="1"/>
              <c:layout>
                <c:manualLayout>
                  <c:x val="1.3601817329276285E-2"/>
                  <c:y val="1.7998866213151929E-2"/>
                </c:manualLayout>
              </c:layout>
              <c:showVal val="1"/>
            </c:dLbl>
            <c:dLbl>
              <c:idx val="2"/>
              <c:layout>
                <c:manualLayout>
                  <c:x val="1.0363289393734319E-2"/>
                  <c:y val="1.7998866213151929E-2"/>
                </c:manualLayout>
              </c:layout>
              <c:showVal val="1"/>
            </c:dLbl>
            <c:dLbl>
              <c:idx val="3"/>
              <c:layout>
                <c:manualLayout>
                  <c:x val="1.0363289393734319E-2"/>
                  <c:y val="2.5198412698412689E-2"/>
                </c:manualLayout>
              </c:layout>
              <c:showVal val="1"/>
            </c:dLbl>
            <c:dLbl>
              <c:idx val="4"/>
              <c:layout>
                <c:manualLayout>
                  <c:x val="9.7155838066259291E-3"/>
                  <c:y val="3.5997732426303893E-2"/>
                </c:manualLayout>
              </c:layout>
              <c:showVal val="1"/>
            </c:dLbl>
            <c:dLbl>
              <c:idx val="5"/>
              <c:layout>
                <c:manualLayout>
                  <c:x val="1.1010994980842698E-2"/>
                  <c:y val="3.5997732426303893E-2"/>
                </c:manualLayout>
              </c:layout>
              <c:showVal val="1"/>
            </c:dLbl>
            <c:dLbl>
              <c:idx val="6"/>
              <c:layout>
                <c:manualLayout>
                  <c:x val="8.4201726324091321E-3"/>
                  <c:y val="3.9597505668934246E-2"/>
                </c:manualLayout>
              </c:layout>
              <c:showVal val="1"/>
            </c:dLbl>
            <c:dLbl>
              <c:idx val="7"/>
              <c:layout>
                <c:manualLayout>
                  <c:x val="9.0678782195175237E-3"/>
                  <c:y val="4.6797052154195024E-2"/>
                </c:manualLayout>
              </c:layout>
              <c:showVal val="1"/>
            </c:dLbl>
            <c:dLbl>
              <c:idx val="8"/>
              <c:layout>
                <c:manualLayout>
                  <c:x val="9.7155838066259291E-3"/>
                  <c:y val="4.6797052154195024E-2"/>
                </c:manualLayout>
              </c:layout>
              <c:showVal val="1"/>
            </c:dLbl>
            <c:dLbl>
              <c:idx val="9"/>
              <c:layout>
                <c:manualLayout>
                  <c:x val="9.7155838066259291E-3"/>
                  <c:y val="5.0396825396825426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MAJ'!$D$5:$D$15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3"/>
          <c:order val="3"/>
          <c:tx>
            <c:strRef>
              <c:f>'IMPLICATION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MAJ'!$E$5:$E$15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cylinder"/>
        <c:axId val="128507904"/>
        <c:axId val="128509440"/>
        <c:axId val="0"/>
      </c:bar3DChart>
      <c:catAx>
        <c:axId val="128507904"/>
        <c:scaling>
          <c:orientation val="minMax"/>
        </c:scaling>
        <c:axPos val="b"/>
        <c:majorTickMark val="none"/>
        <c:tickLblPos val="nextTo"/>
        <c:crossAx val="128509440"/>
        <c:crosses val="autoZero"/>
        <c:auto val="1"/>
        <c:lblAlgn val="ctr"/>
        <c:lblOffset val="100"/>
      </c:catAx>
      <c:valAx>
        <c:axId val="128509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28507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[data.xlsx]REPARTITION DES HRS!Tableau croisé dynamique3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REPARTITION DES HEURES</a:t>
            </a:r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DES HRS'!$B$3:$B$4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HRS'!$B$5:$B$25</c:f>
              <c:numCache>
                <c:formatCode>General</c:formatCode>
                <c:ptCount val="10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</c:numCache>
            </c:numRef>
          </c:val>
        </c:ser>
        <c:ser>
          <c:idx val="1"/>
          <c:order val="1"/>
          <c:tx>
            <c:strRef>
              <c:f>'REPARTITION DES HRS'!$C$3:$C$4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box"/>
        <c:axId val="103538688"/>
        <c:axId val="103540224"/>
        <c:axId val="0"/>
      </c:bar3DChart>
      <c:catAx>
        <c:axId val="103538688"/>
        <c:scaling>
          <c:orientation val="minMax"/>
        </c:scaling>
        <c:axPos val="b"/>
        <c:majorTickMark val="none"/>
        <c:tickLblPos val="nextTo"/>
        <c:crossAx val="103540224"/>
        <c:crosses val="autoZero"/>
        <c:auto val="1"/>
        <c:lblAlgn val="ctr"/>
        <c:lblOffset val="100"/>
      </c:catAx>
      <c:valAx>
        <c:axId val="1035402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3538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[data.xlsx]RENTABILITE PAR TX DOCCUP!Tableau croisé dynamique4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RENTABILITE PAR TAUX DOCCUPATION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'RENTABILITE PAR TX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TX DOCCUP'!$A$4:$A$24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'RENTABILITE PAR TX DOCCUP'!$B$4:$B$24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dLbls>
          <c:showVal val="1"/>
        </c:dLbls>
        <c:shape val="box"/>
        <c:axId val="105142912"/>
        <c:axId val="105144704"/>
        <c:axId val="0"/>
      </c:bar3DChart>
      <c:catAx>
        <c:axId val="105142912"/>
        <c:scaling>
          <c:orientation val="minMax"/>
        </c:scaling>
        <c:axPos val="b"/>
        <c:tickLblPos val="nextTo"/>
        <c:crossAx val="105144704"/>
        <c:crosses val="autoZero"/>
        <c:auto val="1"/>
        <c:lblAlgn val="ctr"/>
        <c:lblOffset val="100"/>
      </c:catAx>
      <c:valAx>
        <c:axId val="105144704"/>
        <c:scaling>
          <c:orientation val="minMax"/>
        </c:scaling>
        <c:axPos val="l"/>
        <c:majorGridlines/>
        <c:numFmt formatCode="General" sourceLinked="1"/>
        <c:tickLblPos val="nextTo"/>
        <c:crossAx val="1051429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[data.xlsx]POINT MORT PAR CHIFFRE DAFF!Tableau croisé dynamique5</c:name>
    <c:fmtId val="0"/>
  </c:pivotSource>
  <c:chart>
    <c:title>
      <c:tx>
        <c:rich>
          <a:bodyPr/>
          <a:lstStyle/>
          <a:p>
            <a:pPr>
              <a:defRPr/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dLbl>
          <c:idx val="0"/>
          <c:layout>
            <c:manualLayout>
              <c:x val="1.8264840182648401E-3"/>
              <c:y val="-5.5555555555555539E-2"/>
            </c:manualLayout>
          </c:layout>
          <c:showVal val="1"/>
        </c:dLbl>
      </c:pivotFmt>
      <c:pivotFmt>
        <c:idx val="3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4"/>
        <c:dLbl>
          <c:idx val="0"/>
          <c:layout>
            <c:manualLayout>
              <c:x val="0"/>
              <c:y val="-3.7037037037037042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8264840182648401E-3"/>
              <c:y val="-2.777777777777779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0"/>
              <c:y val="-3.7037037037037042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-3.6529680365296798E-3"/>
              <c:y val="-3.7037037037037056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-1.6742576755752337E-17"/>
              <c:y val="-2.7777777777777766E-2"/>
            </c:manualLayout>
          </c:layout>
          <c:showVal val="1"/>
        </c:dLbl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7.3289181318088661E-2"/>
          <c:y val="0.21795166229221349"/>
          <c:w val="0.68209067702153681"/>
          <c:h val="0.60332932341790613"/>
        </c:manualLayout>
      </c:layout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DAFF'!$B$5:$B$25</c:f>
              <c:numCache>
                <c:formatCode>General</c:formatCode>
                <c:ptCount val="10"/>
                <c:pt idx="0">
                  <c:v>13459</c:v>
                </c:pt>
                <c:pt idx="1">
                  <c:v>13459</c:v>
                </c:pt>
                <c:pt idx="2">
                  <c:v>13459</c:v>
                </c:pt>
                <c:pt idx="3">
                  <c:v>13459</c:v>
                </c:pt>
                <c:pt idx="4">
                  <c:v>13459</c:v>
                </c:pt>
                <c:pt idx="5">
                  <c:v>13459</c:v>
                </c:pt>
                <c:pt idx="6">
                  <c:v>13459</c:v>
                </c:pt>
                <c:pt idx="7">
                  <c:v>13459</c:v>
                </c:pt>
                <c:pt idx="8">
                  <c:v>13459</c:v>
                </c:pt>
                <c:pt idx="9">
                  <c:v>13459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-1.6742576755752337E-17"/>
                  <c:y val="-2.7777777777777766E-2"/>
                </c:manualLayout>
              </c:layout>
              <c:showVal val="1"/>
            </c:dLbl>
            <c:dLbl>
              <c:idx val="1"/>
              <c:layout>
                <c:manualLayout>
                  <c:x val="-1.8264840182648401E-3"/>
                  <c:y val="-2.3148148148148126E-2"/>
                </c:manualLayout>
              </c:layout>
              <c:showVal val="1"/>
            </c:dLbl>
            <c:dLbl>
              <c:idx val="2"/>
              <c:layout>
                <c:manualLayout>
                  <c:x val="-3.6529680365296798E-3"/>
                  <c:y val="-3.7037037037037056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3.703703703703704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5"/>
              <c:layout>
                <c:manualLayout>
                  <c:x val="1.8264840182648401E-3"/>
                  <c:y val="-2.777777777777779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3.7037037037037042E-2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9"/>
              <c:layout>
                <c:manualLayout>
                  <c:x val="1.8264840182648401E-3"/>
                  <c:y val="-5.5555555555555539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DAFF'!$C$5:$C$25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dLbls>
          <c:showVal val="1"/>
        </c:dLbls>
        <c:shape val="cylinder"/>
        <c:axId val="105098240"/>
        <c:axId val="105206528"/>
        <c:axId val="105079232"/>
      </c:bar3DChart>
      <c:catAx>
        <c:axId val="105098240"/>
        <c:scaling>
          <c:orientation val="minMax"/>
        </c:scaling>
        <c:axPos val="b"/>
        <c:majorTickMark val="none"/>
        <c:tickLblPos val="nextTo"/>
        <c:crossAx val="105206528"/>
        <c:crosses val="autoZero"/>
        <c:auto val="1"/>
        <c:lblAlgn val="ctr"/>
        <c:lblOffset val="100"/>
      </c:catAx>
      <c:valAx>
        <c:axId val="1052065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098240"/>
        <c:crosses val="autoZero"/>
        <c:crossBetween val="between"/>
      </c:valAx>
      <c:serAx>
        <c:axId val="105079232"/>
        <c:scaling>
          <c:orientation val="minMax"/>
        </c:scaling>
        <c:delete val="1"/>
        <c:axPos val="b"/>
        <c:tickLblPos val="none"/>
        <c:crossAx val="105206528"/>
        <c:crosses val="autoZero"/>
      </c:ser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CORRELATION ACT MAJ!Tableau croisé dynamique6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MOTEURS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</a:t>
            </a:r>
          </a:p>
          <a:p>
            <a:pPr>
              <a:defRPr/>
            </a:pPr>
            <a:r>
              <a:rPr lang="fr-FR" sz="1800" b="1" i="0" baseline="0"/>
              <a:t> thépareutes </a:t>
            </a:r>
          </a:p>
          <a:p>
            <a:pPr>
              <a:defRPr/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dLbl>
          <c:idx val="0"/>
          <c:layout>
            <c:manualLayout>
              <c:x val="1.2954111742167892E-2"/>
              <c:y val="2.1598639455782311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1.3601817329276284E-2"/>
              <c:y val="1.7998866213151929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0363289393734314E-2"/>
              <c:y val="1.7998866213151929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1.0363289393734314E-2"/>
              <c:y val="2.5198412698412696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9.7155838066259204E-3"/>
              <c:y val="3.5997732426303865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1010994980842702E-2"/>
              <c:y val="3.5997732426303865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8.4201726324091286E-3"/>
              <c:y val="3.959750566893424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9.0678782195175237E-3"/>
              <c:y val="4.6797052154195017E-2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9.7155838066259204E-3"/>
              <c:y val="4.6797052154195017E-2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9.7155838066259204E-3"/>
              <c:y val="5.0396825396825412E-2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0"/>
              <c:y val="5.3996598639455787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6696742715290038E-3"/>
              <c:y val="5.7596371882086189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0"/>
              <c:y val="6.4795918367346952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-4.1741856788225081E-3"/>
              <c:y val="5.3996598639455787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-5.0090228145870117E-3"/>
              <c:y val="5.3996598639455787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-5.8438599503515135E-3"/>
              <c:y val="4.3197278911564635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-5.0090228145870117E-3"/>
              <c:y val="5.7596371882086189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-8.348371357645077E-3"/>
              <c:y val="5.3996598639455787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-9.1832084934095806E-3"/>
              <c:y val="5.3996598639455787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-9.1832084934095198E-3"/>
              <c:y val="6.1196145124716557E-2"/>
            </c:manualLayout>
          </c:layout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7.1121187672552585E-2"/>
          <c:y val="0.51732361812982341"/>
          <c:w val="0.65083380141684632"/>
          <c:h val="0.26227633486112739"/>
        </c:manualLayout>
      </c:layout>
      <c:bar3DChart>
        <c:barDir val="col"/>
        <c:grouping val="clustered"/>
        <c:ser>
          <c:idx val="0"/>
          <c:order val="0"/>
          <c:tx>
            <c:strRef>
              <c:f>'IMPLICATION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5.3996598639455787E-2"/>
                </c:manualLayout>
              </c:layout>
              <c:showVal val="1"/>
            </c:dLbl>
            <c:dLbl>
              <c:idx val="1"/>
              <c:layout>
                <c:manualLayout>
                  <c:x val="-1.6696742715290038E-3"/>
                  <c:y val="5.7596371882086189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4795918367346952E-2"/>
                </c:manualLayout>
              </c:layout>
              <c:showVal val="1"/>
            </c:dLbl>
            <c:dLbl>
              <c:idx val="3"/>
              <c:layout>
                <c:manualLayout>
                  <c:x val="-4.1741856788225081E-3"/>
                  <c:y val="5.3996598639455787E-2"/>
                </c:manualLayout>
              </c:layout>
              <c:showVal val="1"/>
            </c:dLbl>
            <c:dLbl>
              <c:idx val="4"/>
              <c:layout>
                <c:manualLayout>
                  <c:x val="-5.0090228145870117E-3"/>
                  <c:y val="5.3996598639455787E-2"/>
                </c:manualLayout>
              </c:layout>
              <c:showVal val="1"/>
            </c:dLbl>
            <c:dLbl>
              <c:idx val="5"/>
              <c:layout>
                <c:manualLayout>
                  <c:x val="-5.8438599503515135E-3"/>
                  <c:y val="4.3197278911564635E-2"/>
                </c:manualLayout>
              </c:layout>
              <c:showVal val="1"/>
            </c:dLbl>
            <c:dLbl>
              <c:idx val="6"/>
              <c:layout>
                <c:manualLayout>
                  <c:x val="-5.0090228145870117E-3"/>
                  <c:y val="5.7596371882086189E-2"/>
                </c:manualLayout>
              </c:layout>
              <c:showVal val="1"/>
            </c:dLbl>
            <c:dLbl>
              <c:idx val="7"/>
              <c:layout>
                <c:manualLayout>
                  <c:x val="-8.348371357645077E-3"/>
                  <c:y val="5.3996598639455787E-2"/>
                </c:manualLayout>
              </c:layout>
              <c:showVal val="1"/>
            </c:dLbl>
            <c:dLbl>
              <c:idx val="8"/>
              <c:layout>
                <c:manualLayout>
                  <c:x val="-9.1832084934095806E-3"/>
                  <c:y val="5.3996598639455787E-2"/>
                </c:manualLayout>
              </c:layout>
              <c:showVal val="1"/>
            </c:dLbl>
            <c:dLbl>
              <c:idx val="9"/>
              <c:layout>
                <c:manualLayout>
                  <c:x val="-9.1832084934095198E-3"/>
                  <c:y val="6.1196145124716557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MAJ'!$B$5:$B$15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ser>
          <c:idx val="1"/>
          <c:order val="1"/>
          <c:tx>
            <c:strRef>
              <c:f>'IMPLICATION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MAJ'!$C$5:$C$15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2"/>
          <c:order val="2"/>
          <c:tx>
            <c:strRef>
              <c:f>'IMPLICATION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1.2954111742167892E-2"/>
                  <c:y val="2.1598639455782311E-2"/>
                </c:manualLayout>
              </c:layout>
              <c:showVal val="1"/>
            </c:dLbl>
            <c:dLbl>
              <c:idx val="1"/>
              <c:layout>
                <c:manualLayout>
                  <c:x val="1.3601817329276284E-2"/>
                  <c:y val="1.7998866213151929E-2"/>
                </c:manualLayout>
              </c:layout>
              <c:showVal val="1"/>
            </c:dLbl>
            <c:dLbl>
              <c:idx val="2"/>
              <c:layout>
                <c:manualLayout>
                  <c:x val="1.0363289393734314E-2"/>
                  <c:y val="1.7998866213151929E-2"/>
                </c:manualLayout>
              </c:layout>
              <c:showVal val="1"/>
            </c:dLbl>
            <c:dLbl>
              <c:idx val="3"/>
              <c:layout>
                <c:manualLayout>
                  <c:x val="1.0363289393734314E-2"/>
                  <c:y val="2.5198412698412696E-2"/>
                </c:manualLayout>
              </c:layout>
              <c:showVal val="1"/>
            </c:dLbl>
            <c:dLbl>
              <c:idx val="4"/>
              <c:layout>
                <c:manualLayout>
                  <c:x val="9.7155838066259204E-3"/>
                  <c:y val="3.5997732426303865E-2"/>
                </c:manualLayout>
              </c:layout>
              <c:showVal val="1"/>
            </c:dLbl>
            <c:dLbl>
              <c:idx val="5"/>
              <c:layout>
                <c:manualLayout>
                  <c:x val="1.1010994980842702E-2"/>
                  <c:y val="3.5997732426303865E-2"/>
                </c:manualLayout>
              </c:layout>
              <c:showVal val="1"/>
            </c:dLbl>
            <c:dLbl>
              <c:idx val="6"/>
              <c:layout>
                <c:manualLayout>
                  <c:x val="8.4201726324091286E-3"/>
                  <c:y val="3.9597505668934246E-2"/>
                </c:manualLayout>
              </c:layout>
              <c:showVal val="1"/>
            </c:dLbl>
            <c:dLbl>
              <c:idx val="7"/>
              <c:layout>
                <c:manualLayout>
                  <c:x val="9.0678782195175237E-3"/>
                  <c:y val="4.6797052154195017E-2"/>
                </c:manualLayout>
              </c:layout>
              <c:showVal val="1"/>
            </c:dLbl>
            <c:dLbl>
              <c:idx val="8"/>
              <c:layout>
                <c:manualLayout>
                  <c:x val="9.7155838066259204E-3"/>
                  <c:y val="4.6797052154195017E-2"/>
                </c:manualLayout>
              </c:layout>
              <c:showVal val="1"/>
            </c:dLbl>
            <c:dLbl>
              <c:idx val="9"/>
              <c:layout>
                <c:manualLayout>
                  <c:x val="9.7155838066259204E-3"/>
                  <c:y val="5.0396825396825412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MAJ'!$D$5:$D$15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3"/>
          <c:order val="3"/>
          <c:tx>
            <c:strRef>
              <c:f>'IMPLICATION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MAJ'!$E$5:$E$15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cylinder"/>
        <c:axId val="105394944"/>
        <c:axId val="105396480"/>
        <c:axId val="0"/>
      </c:bar3DChart>
      <c:catAx>
        <c:axId val="105394944"/>
        <c:scaling>
          <c:orientation val="minMax"/>
        </c:scaling>
        <c:axPos val="b"/>
        <c:majorTickMark val="none"/>
        <c:tickLblPos val="nextTo"/>
        <c:crossAx val="105396480"/>
        <c:crosses val="autoZero"/>
        <c:auto val="1"/>
        <c:lblAlgn val="ctr"/>
        <c:lblOffset val="100"/>
      </c:catAx>
      <c:valAx>
        <c:axId val="1053964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3949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DE L'ACTEUR MAJEUR!Tableau croisé dynamique2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 baseline="0"/>
              <a:t> IMPLICATION DES THERAPEUTES DANS LA REPARTITION DU CHIFFRE D'AFFAIRE</a:t>
            </a:r>
            <a:endParaRPr lang="fr-FR"/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</c:dLbl>
      </c:pivotFmt>
      <c:pivotFmt>
        <c:idx val="3"/>
        <c:marker>
          <c:symbol val="none"/>
        </c:marker>
        <c:dLbl>
          <c:idx val="0"/>
          <c:delete val="1"/>
        </c:dLbl>
      </c:pivotFmt>
      <c:pivotFmt>
        <c:idx val="4"/>
        <c:marker>
          <c:symbol val="none"/>
        </c:marker>
        <c:dLbl>
          <c:idx val="0"/>
          <c:delete val="1"/>
        </c:dLbl>
      </c:pivotFmt>
      <c:pivotFmt>
        <c:idx val="5"/>
        <c:marker>
          <c:symbol val="none"/>
        </c:marker>
        <c:dLbl>
          <c:idx val="0"/>
          <c:delete val="1"/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'IMPLICATION DE L''ACTEUR MAJEUR'!$B$3:$B$4</c:f>
              <c:strCache>
                <c:ptCount val="1"/>
                <c:pt idx="0">
                  <c:v>Somme de THERAPEUTES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MAJEUR'!$B$5:$B$25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1"/>
          <c:order val="1"/>
          <c:tx>
            <c:strRef>
              <c:f>'IMPLICATION DE L''ACTEUR MAJEUR'!$C$3:$C$4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ser>
          <c:idx val="2"/>
          <c:order val="2"/>
          <c:tx>
            <c:strRef>
              <c:f>'IMPLICATION DE L''ACTEUR MAJEUR'!$D$3:$D$4</c:f>
              <c:strCache>
                <c:ptCount val="1"/>
                <c:pt idx="0">
                  <c:v>Somme de CA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MAJEUR'!$D$5:$D$25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hape val="cylinder"/>
        <c:axId val="105577472"/>
        <c:axId val="105796352"/>
        <c:axId val="105569344"/>
      </c:bar3DChart>
      <c:catAx>
        <c:axId val="105577472"/>
        <c:scaling>
          <c:orientation val="minMax"/>
        </c:scaling>
        <c:axPos val="b"/>
        <c:majorTickMark val="none"/>
        <c:tickLblPos val="nextTo"/>
        <c:crossAx val="105796352"/>
        <c:crosses val="autoZero"/>
        <c:auto val="1"/>
        <c:lblAlgn val="ctr"/>
        <c:lblOffset val="100"/>
      </c:catAx>
      <c:valAx>
        <c:axId val="1057963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577472"/>
        <c:crosses val="autoZero"/>
        <c:crossBetween val="between"/>
      </c:valAx>
      <c:serAx>
        <c:axId val="105569344"/>
        <c:scaling>
          <c:orientation val="minMax"/>
        </c:scaling>
        <c:delete val="1"/>
        <c:axPos val="b"/>
        <c:tickLblPos val="none"/>
        <c:crossAx val="105796352"/>
        <c:crosses val="autoZero"/>
      </c:ser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[data.xlsx]REPARTITION DES HRS!Tableau croisé dynamique3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REPARTITION DES HEURES</a:t>
            </a:r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DES HRS'!$B$3:$B$4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HRS'!$B$5:$B$25</c:f>
              <c:numCache>
                <c:formatCode>General</c:formatCode>
                <c:ptCount val="10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</c:numCache>
            </c:numRef>
          </c:val>
        </c:ser>
        <c:ser>
          <c:idx val="1"/>
          <c:order val="1"/>
          <c:tx>
            <c:strRef>
              <c:f>'REPARTITION DES HRS'!$C$3:$C$4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box"/>
        <c:axId val="105835520"/>
        <c:axId val="105657088"/>
        <c:axId val="0"/>
      </c:bar3DChart>
      <c:catAx>
        <c:axId val="105835520"/>
        <c:scaling>
          <c:orientation val="minMax"/>
        </c:scaling>
        <c:axPos val="b"/>
        <c:majorTickMark val="none"/>
        <c:tickLblPos val="nextTo"/>
        <c:crossAx val="105657088"/>
        <c:crosses val="autoZero"/>
        <c:auto val="1"/>
        <c:lblAlgn val="ctr"/>
        <c:lblOffset val="100"/>
      </c:catAx>
      <c:valAx>
        <c:axId val="1056570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835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[data.xlsx]RENTABILITE PAR TX DOCCUP!Tableau croisé dynamique4</c:name>
    <c:fmtId val="2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RENTABILITE PAR TAUX DOCCUPATION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'RENTABILITE PAR TX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TX DOCCUP'!$A$4:$A$24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'RENTABILITE PAR TX DOCCUP'!$B$4:$B$24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dLbls>
          <c:showVal val="1"/>
        </c:dLbls>
        <c:shape val="box"/>
        <c:axId val="105679104"/>
        <c:axId val="105705472"/>
        <c:axId val="0"/>
      </c:bar3DChart>
      <c:catAx>
        <c:axId val="105679104"/>
        <c:scaling>
          <c:orientation val="minMax"/>
        </c:scaling>
        <c:axPos val="b"/>
        <c:tickLblPos val="nextTo"/>
        <c:crossAx val="105705472"/>
        <c:crosses val="autoZero"/>
        <c:auto val="1"/>
        <c:lblAlgn val="ctr"/>
        <c:lblOffset val="100"/>
      </c:catAx>
      <c:valAx>
        <c:axId val="105705472"/>
        <c:scaling>
          <c:orientation val="minMax"/>
        </c:scaling>
        <c:axPos val="l"/>
        <c:majorGridlines/>
        <c:numFmt formatCode="General" sourceLinked="1"/>
        <c:tickLblPos val="nextTo"/>
        <c:crossAx val="1056791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[data.xlsx]POINT MORT PAR CHIFFRE DAFF!Tableau croisé dynamique5</c:name>
    <c:fmtId val="2"/>
  </c:pivotSource>
  <c:chart>
    <c:title>
      <c:tx>
        <c:rich>
          <a:bodyPr/>
          <a:lstStyle/>
          <a:p>
            <a:pPr>
              <a:defRPr/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dLbl>
          <c:idx val="0"/>
          <c:layout>
            <c:manualLayout>
              <c:x val="1.8264840182648401E-3"/>
              <c:y val="-5.5555555555555518E-2"/>
            </c:manualLayout>
          </c:layout>
          <c:showVal val="1"/>
        </c:dLbl>
      </c:pivotFmt>
      <c:pivotFmt>
        <c:idx val="3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4"/>
        <c:dLbl>
          <c:idx val="0"/>
          <c:layout>
            <c:manualLayout>
              <c:x val="0"/>
              <c:y val="-3.7037037037037056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8264840182648401E-3"/>
              <c:y val="-2.7777777777777811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0"/>
              <c:y val="-3.7037037037037056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-3.6529680365296798E-3"/>
              <c:y val="-3.7037037037037056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-1.6742576755752378E-17"/>
              <c:y val="-2.7777777777777794E-2"/>
            </c:manualLayout>
          </c:layout>
          <c:showVal val="1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4"/>
        <c:dLbl>
          <c:idx val="0"/>
          <c:layout>
            <c:manualLayout>
              <c:x val="-1.6742576755752378E-17"/>
              <c:y val="-2.7777777777777794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-3.6529680365296798E-3"/>
              <c:y val="-3.7037037037037056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0"/>
              <c:y val="-3.7037037037037056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1.8264840182648401E-3"/>
              <c:y val="-2.7777777777777811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0"/>
              <c:y val="-3.7037037037037056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1.8264840182648401E-3"/>
              <c:y val="-5.5555555555555518E-2"/>
            </c:manualLayout>
          </c:layout>
          <c:showVal val="1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6"/>
        <c:dLbl>
          <c:idx val="0"/>
          <c:layout>
            <c:manualLayout>
              <c:x val="-1.4381763923345203E-7"/>
              <c:y val="-4.6296296296296302E-3"/>
            </c:manualLayout>
          </c:layout>
          <c:showVal val="1"/>
        </c:dLbl>
      </c:pivotFmt>
      <c:pivotFmt>
        <c:idx val="27"/>
        <c:dLbl>
          <c:idx val="0"/>
          <c:layout>
            <c:manualLayout>
              <c:x val="-1.8264840182648401E-3"/>
              <c:y val="-9.2592592592592622E-3"/>
            </c:manualLayout>
          </c:layout>
          <c:showVal val="1"/>
        </c:dLbl>
      </c:pivotFmt>
      <c:pivotFmt>
        <c:idx val="28"/>
        <c:dLbl>
          <c:idx val="0"/>
          <c:layout>
            <c:manualLayout>
              <c:x val="-1.8264840182648401E-3"/>
              <c:y val="-1.3889253426655004E-2"/>
            </c:manualLayout>
          </c:layout>
          <c:showVal val="1"/>
        </c:dLbl>
      </c:pivotFmt>
      <c:pivotFmt>
        <c:idx val="29"/>
        <c:dLbl>
          <c:idx val="0"/>
          <c:layout>
            <c:manualLayout>
              <c:x val="0"/>
              <c:y val="-1.3888888888888892E-2"/>
            </c:manualLayout>
          </c:layout>
          <c:showVal val="1"/>
        </c:dLbl>
      </c:pivotFmt>
      <c:pivotFmt>
        <c:idx val="30"/>
        <c:dLbl>
          <c:idx val="0"/>
          <c:layout>
            <c:manualLayout>
              <c:x val="0"/>
              <c:y val="-1.3888888888888892E-2"/>
            </c:manualLayout>
          </c:layout>
          <c:showVal val="1"/>
        </c:dLbl>
      </c:pivotFmt>
      <c:pivotFmt>
        <c:idx val="31"/>
        <c:dLbl>
          <c:idx val="0"/>
          <c:layout>
            <c:manualLayout>
              <c:x val="7.3059360730593614E-3"/>
              <c:y val="-9.2592592592592622E-3"/>
            </c:manualLayout>
          </c:layout>
          <c:showVal val="1"/>
        </c:dLbl>
      </c:pivotFmt>
      <c:pivotFmt>
        <c:idx val="32"/>
        <c:dLbl>
          <c:idx val="0"/>
          <c:layout>
            <c:manualLayout>
              <c:x val="0"/>
              <c:y val="-1.3888888888888892E-2"/>
            </c:manualLayout>
          </c:layout>
          <c:showVal val="1"/>
        </c:dLbl>
      </c:pivotFmt>
      <c:pivotFmt>
        <c:idx val="33"/>
        <c:dLbl>
          <c:idx val="0"/>
          <c:layout>
            <c:manualLayout>
              <c:x val="0"/>
              <c:y val="-1.8518518518518521E-2"/>
            </c:manualLayout>
          </c:layout>
          <c:showVal val="1"/>
        </c:dLbl>
      </c:pivotFmt>
      <c:pivotFmt>
        <c:idx val="34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35"/>
        <c:dLbl>
          <c:idx val="0"/>
          <c:layout>
            <c:manualLayout>
              <c:x val="1.8264840182648401E-3"/>
              <c:y val="-5.5555555555555518E-2"/>
            </c:manualLayout>
          </c:layout>
          <c:showVal val="1"/>
        </c:dLbl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7.3289181318088661E-2"/>
          <c:y val="0.21795166229221349"/>
          <c:w val="0.68209067702153703"/>
          <c:h val="0.60332932341790613"/>
        </c:manualLayout>
      </c:layout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DAFF'!$B$5:$B$25</c:f>
              <c:numCache>
                <c:formatCode>General</c:formatCode>
                <c:ptCount val="10"/>
                <c:pt idx="0">
                  <c:v>13459</c:v>
                </c:pt>
                <c:pt idx="1">
                  <c:v>13459</c:v>
                </c:pt>
                <c:pt idx="2">
                  <c:v>13459</c:v>
                </c:pt>
                <c:pt idx="3">
                  <c:v>13459</c:v>
                </c:pt>
                <c:pt idx="4">
                  <c:v>13459</c:v>
                </c:pt>
                <c:pt idx="5">
                  <c:v>13459</c:v>
                </c:pt>
                <c:pt idx="6">
                  <c:v>13459</c:v>
                </c:pt>
                <c:pt idx="7">
                  <c:v>13459</c:v>
                </c:pt>
                <c:pt idx="8">
                  <c:v>13459</c:v>
                </c:pt>
                <c:pt idx="9">
                  <c:v>13459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-1.4381763923345203E-7"/>
                  <c:y val="-4.6296296296296302E-3"/>
                </c:manualLayout>
              </c:layout>
              <c:showVal val="1"/>
            </c:dLbl>
            <c:dLbl>
              <c:idx val="1"/>
              <c:layout>
                <c:manualLayout>
                  <c:x val="-1.8264840182648401E-3"/>
                  <c:y val="-9.2592592592592622E-3"/>
                </c:manualLayout>
              </c:layout>
              <c:showVal val="1"/>
            </c:dLbl>
            <c:dLbl>
              <c:idx val="2"/>
              <c:layout>
                <c:manualLayout>
                  <c:x val="-1.8264840182648401E-3"/>
                  <c:y val="-1.388925342665500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1.388888888888889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1.3888888888888892E-2"/>
                </c:manualLayout>
              </c:layout>
              <c:showVal val="1"/>
            </c:dLbl>
            <c:dLbl>
              <c:idx val="5"/>
              <c:layout>
                <c:manualLayout>
                  <c:x val="7.3059360730593614E-3"/>
                  <c:y val="-9.2592592592592622E-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1.3888888888888892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1.8518518518518521E-2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9"/>
              <c:layout>
                <c:manualLayout>
                  <c:x val="1.8264840182648401E-3"/>
                  <c:y val="-5.5555555555555518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DAFF'!$C$5:$C$25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dLbls>
          <c:showVal val="1"/>
        </c:dLbls>
        <c:shape val="cylinder"/>
        <c:axId val="105959424"/>
        <c:axId val="105960960"/>
        <c:axId val="105861568"/>
      </c:bar3DChart>
      <c:catAx>
        <c:axId val="105959424"/>
        <c:scaling>
          <c:orientation val="minMax"/>
        </c:scaling>
        <c:axPos val="b"/>
        <c:majorTickMark val="none"/>
        <c:tickLblPos val="nextTo"/>
        <c:crossAx val="105960960"/>
        <c:crosses val="autoZero"/>
        <c:auto val="1"/>
        <c:lblAlgn val="ctr"/>
        <c:lblOffset val="100"/>
      </c:catAx>
      <c:valAx>
        <c:axId val="1059609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959424"/>
        <c:crosses val="autoZero"/>
        <c:crossBetween val="between"/>
      </c:valAx>
      <c:serAx>
        <c:axId val="105861568"/>
        <c:scaling>
          <c:orientation val="minMax"/>
        </c:scaling>
        <c:delete val="1"/>
        <c:axPos val="b"/>
        <c:tickLblPos val="none"/>
        <c:crossAx val="105960960"/>
        <c:crosses val="autoZero"/>
      </c:ser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76199</xdr:rowOff>
    </xdr:from>
    <xdr:to>
      <xdr:col>6</xdr:col>
      <xdr:colOff>457200</xdr:colOff>
      <xdr:row>45</xdr:row>
      <xdr:rowOff>161924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</xdr:colOff>
      <xdr:row>26</xdr:row>
      <xdr:rowOff>16328</xdr:rowOff>
    </xdr:from>
    <xdr:to>
      <xdr:col>4</xdr:col>
      <xdr:colOff>2409824</xdr:colOff>
      <xdr:row>47</xdr:row>
      <xdr:rowOff>102054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24</xdr:row>
      <xdr:rowOff>127908</xdr:rowOff>
    </xdr:from>
    <xdr:to>
      <xdr:col>8</xdr:col>
      <xdr:colOff>612321</xdr:colOff>
      <xdr:row>39</xdr:row>
      <xdr:rowOff>13608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152400</xdr:rowOff>
    </xdr:from>
    <xdr:to>
      <xdr:col>7</xdr:col>
      <xdr:colOff>161925</xdr:colOff>
      <xdr:row>40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0.12668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0614056" cy="34750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61070</xdr:colOff>
      <xdr:row>15</xdr:row>
      <xdr:rowOff>130546</xdr:rowOff>
    </xdr:from>
    <xdr:to>
      <xdr:col>10</xdr:col>
      <xdr:colOff>201705</xdr:colOff>
      <xdr:row>34</xdr:row>
      <xdr:rowOff>39046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494179</xdr:colOff>
      <xdr:row>25</xdr:row>
      <xdr:rowOff>169209</xdr:rowOff>
    </xdr:from>
    <xdr:to>
      <xdr:col>12</xdr:col>
      <xdr:colOff>160804</xdr:colOff>
      <xdr:row>43</xdr:row>
      <xdr:rowOff>26334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425824</xdr:colOff>
      <xdr:row>58</xdr:row>
      <xdr:rowOff>95248</xdr:rowOff>
    </xdr:from>
    <xdr:to>
      <xdr:col>13</xdr:col>
      <xdr:colOff>444873</xdr:colOff>
      <xdr:row>74</xdr:row>
      <xdr:rowOff>114298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458881</xdr:colOff>
      <xdr:row>43</xdr:row>
      <xdr:rowOff>79562</xdr:rowOff>
    </xdr:from>
    <xdr:to>
      <xdr:col>12</xdr:col>
      <xdr:colOff>504265</xdr:colOff>
      <xdr:row>57</xdr:row>
      <xdr:rowOff>155762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459441</xdr:colOff>
      <xdr:row>10</xdr:row>
      <xdr:rowOff>176492</xdr:rowOff>
    </xdr:from>
    <xdr:to>
      <xdr:col>10</xdr:col>
      <xdr:colOff>598394</xdr:colOff>
      <xdr:row>25</xdr:row>
      <xdr:rowOff>62192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352425</xdr:colOff>
      <xdr:row>74</xdr:row>
      <xdr:rowOff>152399</xdr:rowOff>
    </xdr:from>
    <xdr:to>
      <xdr:col>14</xdr:col>
      <xdr:colOff>616324</xdr:colOff>
      <xdr:row>96</xdr:row>
      <xdr:rowOff>134470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0.12668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0614056" cy="3475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Sophrokh&#233;pri/Creation%20SAS%20KHEPRI-Nogent/Construction%20B-Plan/BP%20Evelyne%20Rev%20JSC%20Fev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P ev+JSC"/>
      <sheetName val="Début BP"/>
      <sheetName val="Structure des flux"/>
      <sheetName val="Feuil2"/>
      <sheetName val="Feuil3"/>
    </sheetNames>
    <sheetDataSet>
      <sheetData sheetId="0"/>
      <sheetData sheetId="1"/>
      <sheetData sheetId="2">
        <row r="6">
          <cell r="A6">
            <v>147</v>
          </cell>
        </row>
        <row r="7">
          <cell r="A7">
            <v>278</v>
          </cell>
        </row>
        <row r="8">
          <cell r="A8">
            <v>1336</v>
          </cell>
        </row>
        <row r="9">
          <cell r="A9">
            <v>3720</v>
          </cell>
        </row>
        <row r="10">
          <cell r="A10">
            <v>2020</v>
          </cell>
        </row>
        <row r="16">
          <cell r="A16">
            <v>32220</v>
          </cell>
        </row>
        <row r="17">
          <cell r="A17">
            <v>5200</v>
          </cell>
        </row>
        <row r="18">
          <cell r="A18">
            <v>5223</v>
          </cell>
        </row>
        <row r="19">
          <cell r="A19">
            <v>1824</v>
          </cell>
        </row>
        <row r="28">
          <cell r="A28">
            <v>428</v>
          </cell>
        </row>
        <row r="48">
          <cell r="A48">
            <v>80000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264.814241203705" createdVersion="3" refreshedVersion="3" minRefreshableVersion="3" recordCount="14">
  <cacheSource type="worksheet">
    <worksheetSource name="data3"/>
  </cacheSource>
  <cacheFields count="10">
    <cacheField name="Nom du client" numFmtId="0">
      <sharedItems/>
    </cacheField>
    <cacheField name="Date de début d'occupation" numFmtId="14">
      <sharedItems containsSemiMixedTypes="0" containsNonDate="0" containsDate="1" containsString="0" minDate="2014-02-14T00:00:00" maxDate="2015-07-08T00:00:00"/>
    </cacheField>
    <cacheField name="Date de fin d'occupation" numFmtId="14">
      <sharedItems containsNonDate="0" containsDate="1" containsString="0" containsBlank="1" minDate="2015-03-10T00:00:00" maxDate="2015-07-15T00:00:00"/>
    </cacheField>
    <cacheField name="salles" numFmtId="0">
      <sharedItems containsSemiMixedTypes="0" containsString="0" containsNumber="1" containsInteger="1" minValue="1" maxValue="12"/>
    </cacheField>
    <cacheField name="Disponibilité de la salle" numFmtId="0">
      <sharedItems containsNonDate="0" containsString="0" containsBlank="1"/>
    </cacheField>
    <cacheField name="forfait" numFmtId="0">
      <sharedItems/>
    </cacheField>
    <cacheField name="prix forfait thérapeute" numFmtId="164">
      <sharedItems containsSemiMixedTypes="0" containsString="0" containsNumber="1" containsInteger="1" minValue="192" maxValue="6480"/>
    </cacheField>
    <cacheField name="nbres d'hrs minimales." numFmtId="0">
      <sharedItems containsSemiMixedTypes="0" containsString="0" containsNumber="1" containsInteger="1" minValue="10" maxValue="400"/>
    </cacheField>
    <cacheField name="Nb jours d'occupation à date" numFmtId="2">
      <sharedItems containsSemiMixedTypes="0" containsString="0" containsNumber="1" containsInteger="1" minValue="31" maxValue="415"/>
    </cacheField>
    <cacheField name="nb jours/sem" numFmtId="0">
      <sharedItems containsSemiMixedTypes="0" containsString="0" containsNumber="1" containsInteger="1" minValue="2" maxValue="5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2284.596244097222" createdVersion="3" refreshedVersion="3" minRefreshableVersion="3" recordCount="10">
  <cacheSource type="worksheet">
    <worksheetSource name="data[#Tout]"/>
  </cacheSource>
  <cacheFields count="11">
    <cacheField name="PERIODE" numFmtId="0">
      <sharedItems count="10">
        <s v="JANVIER"/>
        <s v="FÉVRIER"/>
        <s v="MARS"/>
        <s v="AVRIL"/>
        <s v="MAI"/>
        <s v="JUIN"/>
        <s v="JUILLET"/>
        <s v="OCTOBRE"/>
        <s v="NOVEMBRE"/>
        <s v="DECEMBRE"/>
      </sharedItems>
    </cacheField>
    <cacheField name="CA" numFmtId="164">
      <sharedItems containsSemiMixedTypes="0" containsString="0" containsNumber="1" containsInteger="1" minValue="36000" maxValue="36000"/>
    </cacheField>
    <cacheField name="RENTABILITE " numFmtId="164">
      <sharedItems containsSemiMixedTypes="0" containsString="0" containsNumber="1" containsInteger="1" minValue="28240" maxValue="28240"/>
    </cacheField>
    <cacheField name="THERAPEUTES" numFmtId="164">
      <sharedItems containsSemiMixedTypes="0" containsString="0" containsNumber="1" containsInteger="1" minValue="36000" maxValue="36000"/>
    </cacheField>
    <cacheField name="POINT MORT" numFmtId="164">
      <sharedItems containsSemiMixedTypes="0" containsString="0" containsNumber="1" containsInteger="1" minValue="13459" maxValue="13459" count="1">
        <n v="13459"/>
      </sharedItems>
    </cacheField>
    <cacheField name="TAUXOCCUP" numFmtId="0">
      <sharedItems containsSemiMixedTypes="0" containsString="0" containsNumber="1" minValue="57.96" maxValue="57.96" count="1">
        <n v="57.96"/>
      </sharedItems>
    </cacheField>
    <cacheField name="TOTAL HRS FORFAITAIRE A VENDRE /AN" numFmtId="0">
      <sharedItems containsSemiMixedTypes="0" containsString="0" containsNumber="1" containsInteger="1" minValue="3408" maxValue="3408"/>
    </cacheField>
    <cacheField name="NBBRS HRS/CAB/AN" numFmtId="0">
      <sharedItems containsSemiMixedTypes="0" containsString="0" containsNumber="1" containsInteger="1" minValue="4260" maxValue="4260" count="1">
        <n v="4260"/>
      </sharedItems>
    </cacheField>
    <cacheField name="NBRS JOURS/SEM" numFmtId="0">
      <sharedItems containsSemiMixedTypes="0" containsString="0" containsNumber="1" containsInteger="1" minValue="6" maxValue="6"/>
    </cacheField>
    <cacheField name="NBRS HRS/JOURS" numFmtId="0">
      <sharedItems containsSemiMixedTypes="0" containsString="0" containsNumber="1" containsInteger="1" minValue="10" maxValue="10"/>
    </cacheField>
    <cacheField name="SALLES" numFmtId="0">
      <sharedItems containsSemiMixedTypes="0" containsString="0" containsNumber="1" containsInteger="1" minValue="12" maxValue="12" count="1">
        <n v="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Aaa"/>
    <d v="2015-01-10T00:00:00"/>
    <d v="2015-03-10T00:00:00"/>
    <n v="1"/>
    <m/>
    <s v="Découverte"/>
    <n v="192"/>
    <n v="10"/>
    <n v="59"/>
    <n v="2"/>
  </r>
  <r>
    <s v="bvv"/>
    <d v="2015-02-13T00:00:00"/>
    <m/>
    <n v="2"/>
    <m/>
    <s v="Bronze"/>
    <n v="465"/>
    <n v="25"/>
    <n v="155"/>
    <n v="3"/>
  </r>
  <r>
    <s v="ccc"/>
    <d v="2015-03-03T00:00:00"/>
    <m/>
    <n v="3"/>
    <m/>
    <s v="Argent"/>
    <n v="900"/>
    <n v="50"/>
    <n v="143"/>
    <n v="4"/>
  </r>
  <r>
    <s v="ddd"/>
    <d v="2015-04-14T00:00:00"/>
    <d v="2015-05-15T00:00:00"/>
    <n v="4"/>
    <m/>
    <s v="Vermeil"/>
    <n v="1740"/>
    <n v="100"/>
    <n v="31"/>
    <n v="5"/>
  </r>
  <r>
    <s v="eee"/>
    <d v="2015-02-02T00:00:00"/>
    <m/>
    <n v="5"/>
    <m/>
    <s v="Or"/>
    <n v="3360"/>
    <n v="200"/>
    <n v="164"/>
    <n v="3"/>
  </r>
  <r>
    <s v="ssdss"/>
    <d v="2015-03-14T00:00:00"/>
    <m/>
    <n v="6"/>
    <m/>
    <s v="Diamant"/>
    <n v="6480"/>
    <n v="400"/>
    <n v="134"/>
    <n v="4"/>
  </r>
  <r>
    <s v="zeezz"/>
    <d v="2014-08-07T00:00:00"/>
    <m/>
    <n v="7"/>
    <m/>
    <s v="Argent"/>
    <n v="900"/>
    <n v="50"/>
    <n v="291"/>
    <n v="4"/>
  </r>
  <r>
    <s v="lforg"/>
    <d v="2014-02-14T00:00:00"/>
    <m/>
    <n v="8"/>
    <m/>
    <s v="Vermeil"/>
    <n v="1740"/>
    <n v="100"/>
    <n v="415"/>
    <n v="5"/>
  </r>
  <r>
    <s v="desd"/>
    <d v="2015-03-12T00:00:00"/>
    <d v="2015-07-14T00:00:00"/>
    <n v="9"/>
    <m/>
    <s v="Or"/>
    <n v="3360"/>
    <n v="200"/>
    <n v="124"/>
    <n v="5"/>
  </r>
  <r>
    <s v="rrre"/>
    <d v="2015-07-07T00:00:00"/>
    <m/>
    <n v="10"/>
    <m/>
    <s v="Diamant"/>
    <n v="6480"/>
    <n v="400"/>
    <n v="53"/>
    <n v="4"/>
  </r>
  <r>
    <s v="zeezz"/>
    <d v="2015-01-14T00:00:00"/>
    <m/>
    <n v="11"/>
    <m/>
    <s v="Or"/>
    <n v="3360"/>
    <n v="200"/>
    <n v="177"/>
    <n v="2"/>
  </r>
  <r>
    <s v="sszdf"/>
    <d v="2015-06-12T00:00:00"/>
    <m/>
    <n v="12"/>
    <m/>
    <s v="Diamant"/>
    <n v="6480"/>
    <n v="400"/>
    <n v="70"/>
    <n v="2"/>
  </r>
  <r>
    <s v="edrfv"/>
    <d v="2015-02-03T00:00:00"/>
    <d v="2015-04-10T00:00:00"/>
    <n v="1"/>
    <m/>
    <s v="Or"/>
    <n v="3360"/>
    <n v="200"/>
    <n v="66"/>
    <n v="3"/>
  </r>
  <r>
    <s v="seftth"/>
    <d v="2015-04-07T00:00:00"/>
    <m/>
    <n v="9"/>
    <m/>
    <s v="Diamant"/>
    <n v="6480"/>
    <n v="400"/>
    <n v="118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x v="0"/>
    <n v="36000"/>
    <n v="28240"/>
    <n v="36000"/>
    <x v="0"/>
    <x v="0"/>
    <n v="3408"/>
    <x v="0"/>
    <n v="6"/>
    <n v="10"/>
    <x v="0"/>
  </r>
  <r>
    <x v="1"/>
    <n v="36000"/>
    <n v="28240"/>
    <n v="36000"/>
    <x v="0"/>
    <x v="0"/>
    <n v="3408"/>
    <x v="0"/>
    <n v="6"/>
    <n v="10"/>
    <x v="0"/>
  </r>
  <r>
    <x v="2"/>
    <n v="36000"/>
    <n v="28240"/>
    <n v="36000"/>
    <x v="0"/>
    <x v="0"/>
    <n v="3408"/>
    <x v="0"/>
    <n v="6"/>
    <n v="10"/>
    <x v="0"/>
  </r>
  <r>
    <x v="3"/>
    <n v="36000"/>
    <n v="28240"/>
    <n v="36000"/>
    <x v="0"/>
    <x v="0"/>
    <n v="3408"/>
    <x v="0"/>
    <n v="6"/>
    <n v="10"/>
    <x v="0"/>
  </r>
  <r>
    <x v="4"/>
    <n v="36000"/>
    <n v="28240"/>
    <n v="36000"/>
    <x v="0"/>
    <x v="0"/>
    <n v="3408"/>
    <x v="0"/>
    <n v="6"/>
    <n v="10"/>
    <x v="0"/>
  </r>
  <r>
    <x v="5"/>
    <n v="36000"/>
    <n v="28240"/>
    <n v="36000"/>
    <x v="0"/>
    <x v="0"/>
    <n v="3408"/>
    <x v="0"/>
    <n v="6"/>
    <n v="10"/>
    <x v="0"/>
  </r>
  <r>
    <x v="6"/>
    <n v="36000"/>
    <n v="28240"/>
    <n v="36000"/>
    <x v="0"/>
    <x v="0"/>
    <n v="3408"/>
    <x v="0"/>
    <n v="6"/>
    <n v="10"/>
    <x v="0"/>
  </r>
  <r>
    <x v="7"/>
    <n v="36000"/>
    <n v="28240"/>
    <n v="36000"/>
    <x v="0"/>
    <x v="0"/>
    <n v="3408"/>
    <x v="0"/>
    <n v="6"/>
    <n v="10"/>
    <x v="0"/>
  </r>
  <r>
    <x v="8"/>
    <n v="36000"/>
    <n v="28240"/>
    <n v="36000"/>
    <x v="0"/>
    <x v="0"/>
    <n v="3408"/>
    <x v="0"/>
    <n v="6"/>
    <n v="10"/>
    <x v="0"/>
  </r>
  <r>
    <x v="9"/>
    <n v="36000"/>
    <n v="28240"/>
    <n v="36000"/>
    <x v="0"/>
    <x v="0"/>
    <n v="3408"/>
    <x v="0"/>
    <n v="6"/>
    <n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TDB1:TDD18" firstHeaderRow="1" firstDataRow="1" firstDataCol="0"/>
  <pivotFields count="10">
    <pivotField showAll="0"/>
    <pivotField numFmtId="14" showAll="0"/>
    <pivotField showAll="0"/>
    <pivotField showAll="0"/>
    <pivotField showAll="0"/>
    <pivotField showAll="0"/>
    <pivotField numFmtId="164" showAll="0"/>
    <pivotField showAll="0"/>
    <pivotField numFmtId="2"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D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numFmtId="164" showAll="0"/>
    <pivotField dataField="1" numFmtId="164" showAll="0"/>
    <pivotField numFmtId="164" showAll="0"/>
    <pivotField axis="axisRow" showAll="0">
      <items count="2"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2">
    <field x="0"/>
    <field x="5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THERAPEUTES" fld="3" baseField="0" baseItem="0"/>
    <dataField name="Somme de TOTAL HRS FORFAITAIRE A VENDRE /AN" fld="6" baseField="0" baseItem="0"/>
    <dataField name="Somme de CA" fld="1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umFmtId="164" showAll="0"/>
    <pivotField numFmtId="164" showAll="0"/>
    <pivotField numFmtId="164" showAll="0"/>
    <pivotField numFmtId="164" showAll="0">
      <items count="2">
        <item x="0"/>
        <item t="default"/>
      </items>
    </pivotField>
    <pivotField showAll="0"/>
    <pivotField dataField="1" showAll="0"/>
    <pivotField dataField="1" showAll="0"/>
    <pivotField showAll="0"/>
    <pivotField showAll="0"/>
    <pivotField axis="axisRow" showAll="0">
      <items count="2">
        <item x="0"/>
        <item t="default"/>
      </items>
    </pivotField>
  </pivotFields>
  <rowFields count="2">
    <field x="0"/>
    <field x="10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BRS HRS/CAB/AN" fld="7" baseField="0" baseItem="0"/>
    <dataField name="Somme de TOTAL HRS FORFAITAIRE A VENDRE /AN" fld="6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B24" firstHeaderRow="1" firstDataRow="1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umFmtId="164" showAll="0"/>
    <pivotField dataField="1" numFmtId="164" showAll="0"/>
    <pivotField numFmtId="164" showAll="0"/>
    <pivotField numFmtId="164"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5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Items count="1">
    <i/>
  </colItems>
  <dataFields count="1">
    <dataField name="Somme de RENTABILITE 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numFmtId="164" showAll="0"/>
    <pivotField numFmtId="164" showAll="0"/>
    <pivotField dataField="1" numFmtId="164"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0"/>
    <field x="7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NT MORT" fld="4" baseField="0" baseItem="0"/>
    <dataField name="Somme de CA" fld="1" baseField="0" baseItem="0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3">
          <reference field="4294967294" count="1" selected="0">
            <x v="1"/>
          </reference>
          <reference field="0" count="1" selected="0">
            <x v="9"/>
          </reference>
          <reference field="7" count="1" selected="0">
            <x v="0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1"/>
          </reference>
          <reference field="0" count="1" selected="0">
            <x v="8"/>
          </reference>
          <reference field="7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7" count="1" selected="0">
            <x v="0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7" count="1" selected="0">
            <x v="0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7" count="1" selected="0">
            <x v="0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7" count="1" selected="0">
            <x v="0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7" count="1" selected="0">
            <x v="0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7" count="1" selected="0">
            <x v="0"/>
          </reference>
        </references>
      </pivotArea>
    </chartFormat>
    <chartFormat chart="2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6">
      <pivotArea type="data"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7" count="1" selected="0">
            <x v="0"/>
          </reference>
        </references>
      </pivotArea>
    </chartFormat>
    <chartFormat chart="2" format="27">
      <pivotArea type="data" outline="0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7" count="1" selected="0">
            <x v="0"/>
          </reference>
        </references>
      </pivotArea>
    </chartFormat>
    <chartFormat chart="2" format="28">
      <pivotArea type="data" outline="0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7" count="1" selected="0">
            <x v="0"/>
          </reference>
        </references>
      </pivotArea>
    </chartFormat>
    <chartFormat chart="2" format="29">
      <pivotArea type="data" outline="0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2" format="30">
      <pivotArea type="data" outline="0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7" count="1" selected="0">
            <x v="0"/>
          </reference>
        </references>
      </pivotArea>
    </chartFormat>
    <chartFormat chart="2" format="31">
      <pivotArea type="data" outline="0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7" count="1" selected="0">
            <x v="0"/>
          </reference>
        </references>
      </pivotArea>
    </chartFormat>
    <chartFormat chart="2" format="32">
      <pivotArea type="data" outline="0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7" count="1" selected="0">
            <x v="0"/>
          </reference>
        </references>
      </pivotArea>
    </chartFormat>
    <chartFormat chart="2" format="33">
      <pivotArea type="data" outline="0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2" format="34">
      <pivotArea type="data" outline="0" fieldPosition="0">
        <references count="3">
          <reference field="4294967294" count="1" selected="0">
            <x v="1"/>
          </reference>
          <reference field="0" count="1" selected="0">
            <x v="8"/>
          </reference>
          <reference field="7" count="1" selected="0">
            <x v="0"/>
          </reference>
        </references>
      </pivotArea>
    </chartFormat>
    <chartFormat chart="2" format="35">
      <pivotArea type="data" outline="0" fieldPosition="0">
        <references count="3">
          <reference field="4294967294" count="1" selected="0">
            <x v="1"/>
          </reference>
          <reference field="0" count="1" selected="0">
            <x v="9"/>
          </reference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6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E1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dataField="1" numFmtId="164" showAll="0"/>
    <pivotField dataField="1" numFmtId="164" showAll="0"/>
    <pivotField numFmtId="164"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RENTABILITE " fld="2" baseField="0" baseItem="0"/>
    <dataField name="Somme de THERAPEUTES" fld="3" baseField="0" baseItem="0"/>
    <dataField name="Somme de CA" fld="1" baseField="0" baseItem="0"/>
    <dataField name="Somme de TOTAL HRS FORFAITAIRE A VENDRE /AN" fld="6" baseField="0" baseItem="0"/>
  </dataFields>
  <chartFormats count="4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2"/>
          </reference>
          <reference field="0" count="1" selected="0">
            <x v="9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4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9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50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5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5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5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5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5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56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57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58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5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1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2" format="62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2" format="63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2" format="64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2" format="65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2" format="66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2" format="67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2" format="68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2" format="69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2" format="70">
      <pivotArea type="data" outline="0" fieldPosition="0">
        <references count="2">
          <reference field="4294967294" count="1" selected="0">
            <x v="2"/>
          </reference>
          <reference field="0" count="1" selected="0">
            <x v="9"/>
          </reference>
        </references>
      </pivotArea>
    </chartFormat>
    <chartFormat chart="2" format="7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exemple" displayName="exemple" ref="B1:K15" totalsRowShown="0">
  <autoFilter ref="B1:K15">
    <filterColumn colId="0"/>
    <filterColumn colId="1"/>
    <filterColumn colId="2"/>
    <filterColumn colId="4"/>
    <filterColumn colId="5"/>
    <filterColumn colId="8"/>
    <filterColumn colId="9"/>
  </autoFilter>
  <tableColumns count="10">
    <tableColumn id="13" name="Nom du client"/>
    <tableColumn id="1" name="Date de début d'occupation"/>
    <tableColumn id="2" name="Date de fin d'occupation" dataDxfId="19"/>
    <tableColumn id="4" name="salles" dataDxfId="18"/>
    <tableColumn id="3" name="Disponibilité de la salle" dataDxfId="17"/>
    <tableColumn id="20" name="forfait"/>
    <tableColumn id="5" name="prix forfait thérapeute"/>
    <tableColumn id="6" name="nbres d'hrs minimales." dataDxfId="16"/>
    <tableColumn id="22" name="Nb jours d'occupation à date"/>
    <tableColumn id="23" name="nb jours/sem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data" displayName="data" ref="A1:K11" totalsRowShown="0" headerRowDxfId="15" headerRowCellStyle="Insatisfaisant">
  <autoFilter ref="A1:K11"/>
  <tableColumns count="11">
    <tableColumn id="16" name="PERIODE" dataDxfId="14"/>
    <tableColumn id="2" name="CA" dataDxfId="13"/>
    <tableColumn id="3" name="RENTABILITE " dataDxfId="12"/>
    <tableColumn id="4" name="THERAPEUTES" dataDxfId="11"/>
    <tableColumn id="7" name="POINT MORT" dataDxfId="10">
      <calculatedColumnFormula>(#REF!-J2)</calculatedColumnFormula>
    </tableColumn>
    <tableColumn id="8" name="TAUXOCCUP" dataDxfId="9"/>
    <tableColumn id="10" name="TOTAL HRS FORFAITAIRE A VENDRE /AN" dataDxfId="8">
      <calculatedColumnFormula>(#REF!*H2*365*6/7)</calculatedColumnFormula>
    </tableColumn>
    <tableColumn id="11" name="NBBRS HRS/CAB/AN" dataDxfId="7"/>
    <tableColumn id="12" name="NBRS JOURS/SEM" dataDxfId="6"/>
    <tableColumn id="14" name="NBRS HRS/JOURS"/>
    <tableColumn id="9" name="SALLES" dataDxfId="5">
      <calculatedColumnFormula>SUM(data[[#This Row],[CA]:[NBRS HRS/JOURS]])</calculatedColumnFormula>
    </tableColumn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id="4" name="Tableau4" displayName="Tableau4" ref="A1:E5" totalsRowShown="0">
  <autoFilter ref="A1:E5">
    <filterColumn colId="0"/>
  </autoFilter>
  <tableColumns count="5">
    <tableColumn id="7" name="Entité" dataDxfId="4"/>
    <tableColumn id="1" name="1" dataDxfId="3">
      <calculatedColumnFormula>(4*1200)</calculatedColumnFormula>
    </tableColumn>
    <tableColumn id="2" name="2" dataDxfId="2">
      <calculatedColumnFormula>(3*1200)</calculatedColumnFormula>
    </tableColumn>
    <tableColumn id="3" name="1a" dataDxfId="1">
      <calculatedColumnFormula>(4*1000)</calculatedColumnFormula>
    </tableColumn>
    <tableColumn id="4" name="2a" dataDxfId="0">
      <calculatedColumnFormula>(3*1000)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DD20"/>
  <sheetViews>
    <sheetView topLeftCell="A2" zoomScale="160" zoomScaleNormal="160" workbookViewId="0">
      <selection activeCell="E13" sqref="E13"/>
    </sheetView>
  </sheetViews>
  <sheetFormatPr baseColWidth="10" defaultRowHeight="15"/>
  <cols>
    <col min="1" max="1" width="13.42578125" bestFit="1" customWidth="1"/>
    <col min="2" max="4" width="13.7109375" customWidth="1"/>
    <col min="5" max="6" width="8.5703125" customWidth="1"/>
    <col min="7" max="7" width="11.140625" customWidth="1"/>
    <col min="8" max="8" width="21" customWidth="1"/>
    <col min="9" max="9" width="17.42578125" customWidth="1"/>
    <col min="10" max="11" width="12.85546875" customWidth="1"/>
  </cols>
  <sheetData>
    <row r="1" spans="1:11 13626:13628" ht="15.75" thickBot="1">
      <c r="A1" s="15" t="s">
        <v>13</v>
      </c>
      <c r="B1" t="s">
        <v>17</v>
      </c>
      <c r="C1" t="s">
        <v>31</v>
      </c>
      <c r="D1" t="s">
        <v>32</v>
      </c>
      <c r="E1" t="s">
        <v>0</v>
      </c>
      <c r="F1" t="s">
        <v>33</v>
      </c>
      <c r="G1" t="s">
        <v>1</v>
      </c>
      <c r="H1" t="s">
        <v>8</v>
      </c>
      <c r="I1" t="s">
        <v>9</v>
      </c>
      <c r="J1" t="s">
        <v>34</v>
      </c>
      <c r="K1" t="s">
        <v>10</v>
      </c>
      <c r="TDB1" s="3"/>
      <c r="TDC1" s="4"/>
      <c r="TDD1" s="5"/>
    </row>
    <row r="2" spans="1:11 13626:13628" ht="15.75" thickTop="1">
      <c r="A2" s="16" t="s">
        <v>16</v>
      </c>
      <c r="B2" t="s">
        <v>18</v>
      </c>
      <c r="C2" s="18">
        <v>42014</v>
      </c>
      <c r="D2" s="18">
        <v>42073</v>
      </c>
      <c r="E2" s="22" t="s">
        <v>35</v>
      </c>
      <c r="F2" s="14"/>
      <c r="G2" t="s">
        <v>2</v>
      </c>
      <c r="H2" s="2">
        <v>192</v>
      </c>
      <c r="I2">
        <v>10</v>
      </c>
      <c r="J2" s="20">
        <f>IF(exemple[[#This Row],[Date de fin d''occupation]]=0,NETWORKDAYS(exemple[[#This Row],[Date de début d''occupation]],"17/9/2015"),exemple[[#This Row],[Date de fin d''occupation]]-exemple[[#This Row],[Date de début d''occupation]])</f>
        <v>59</v>
      </c>
      <c r="K2">
        <v>2</v>
      </c>
      <c r="TDB2" s="6"/>
      <c r="TDC2" s="7"/>
      <c r="TDD2" s="8"/>
    </row>
    <row r="3" spans="1:11 13626:13628">
      <c r="A3" s="17" t="s">
        <v>15</v>
      </c>
      <c r="B3" t="s">
        <v>19</v>
      </c>
      <c r="C3" s="18">
        <v>42048</v>
      </c>
      <c r="D3" s="18"/>
      <c r="E3" s="22" t="s">
        <v>36</v>
      </c>
      <c r="F3" s="14"/>
      <c r="G3" t="s">
        <v>3</v>
      </c>
      <c r="H3" s="2">
        <v>465</v>
      </c>
      <c r="I3">
        <v>25</v>
      </c>
      <c r="J3" s="20">
        <f>IF(exemple[[#This Row],[Date de fin d''occupation]]=0,NETWORKDAYS(exemple[[#This Row],[Date de début d''occupation]],"17/9/2015"),exemple[[#This Row],[Date de fin d''occupation]]-exemple[[#This Row],[Date de début d''occupation]])</f>
        <v>155</v>
      </c>
      <c r="K3">
        <v>3</v>
      </c>
      <c r="TDB3" s="6"/>
      <c r="TDC3" s="7"/>
      <c r="TDD3" s="8"/>
    </row>
    <row r="4" spans="1:11 13626:13628">
      <c r="A4" s="16" t="s">
        <v>14</v>
      </c>
      <c r="B4" t="s">
        <v>20</v>
      </c>
      <c r="C4" s="18">
        <v>42066</v>
      </c>
      <c r="D4" s="18"/>
      <c r="E4" s="22" t="s">
        <v>37</v>
      </c>
      <c r="F4" s="14"/>
      <c r="G4" t="s">
        <v>4</v>
      </c>
      <c r="H4" s="2">
        <v>900</v>
      </c>
      <c r="I4">
        <v>50</v>
      </c>
      <c r="J4" s="20">
        <f>IF(exemple[[#This Row],[Date de fin d''occupation]]=0,NETWORKDAYS(exemple[[#This Row],[Date de début d''occupation]],"17/9/2015"),exemple[[#This Row],[Date de fin d''occupation]]-exemple[[#This Row],[Date de début d''occupation]])</f>
        <v>143</v>
      </c>
      <c r="K4">
        <v>4</v>
      </c>
      <c r="TDB4" s="6"/>
      <c r="TDC4" s="7"/>
      <c r="TDD4" s="8"/>
    </row>
    <row r="5" spans="1:11 13626:13628">
      <c r="A5" s="16" t="s">
        <v>16</v>
      </c>
      <c r="B5" t="s">
        <v>21</v>
      </c>
      <c r="C5" s="18">
        <v>42108</v>
      </c>
      <c r="D5" s="18">
        <v>42139</v>
      </c>
      <c r="E5" s="22" t="s">
        <v>38</v>
      </c>
      <c r="F5" s="14"/>
      <c r="G5" t="s">
        <v>5</v>
      </c>
      <c r="H5" s="2">
        <v>1740</v>
      </c>
      <c r="I5">
        <v>100</v>
      </c>
      <c r="J5" s="20">
        <f>IF(exemple[[#This Row],[Date de fin d''occupation]]=0,NETWORKDAYS(exemple[[#This Row],[Date de début d''occupation]],"17/9/2015"),exemple[[#This Row],[Date de fin d''occupation]]-exemple[[#This Row],[Date de début d''occupation]])</f>
        <v>31</v>
      </c>
      <c r="K5">
        <v>5</v>
      </c>
      <c r="TDB5" s="6"/>
      <c r="TDC5" s="7"/>
      <c r="TDD5" s="8"/>
    </row>
    <row r="6" spans="1:11 13626:13628">
      <c r="A6" s="16" t="s">
        <v>16</v>
      </c>
      <c r="B6" t="s">
        <v>22</v>
      </c>
      <c r="C6" s="18">
        <v>42037</v>
      </c>
      <c r="D6" s="18"/>
      <c r="E6" s="22" t="s">
        <v>39</v>
      </c>
      <c r="F6" s="14"/>
      <c r="G6" t="s">
        <v>6</v>
      </c>
      <c r="H6" s="2">
        <v>3360</v>
      </c>
      <c r="I6">
        <v>200</v>
      </c>
      <c r="J6" s="20">
        <f>IF(exemple[[#This Row],[Date de fin d''occupation]]=0,NETWORKDAYS(exemple[[#This Row],[Date de début d''occupation]],"17/9/2015"),exemple[[#This Row],[Date de fin d''occupation]]-exemple[[#This Row],[Date de début d''occupation]])</f>
        <v>164</v>
      </c>
      <c r="K6">
        <v>3</v>
      </c>
      <c r="TDB6" s="6"/>
      <c r="TDC6" s="7"/>
      <c r="TDD6" s="8"/>
    </row>
    <row r="7" spans="1:11 13626:13628">
      <c r="A7" s="16" t="s">
        <v>16</v>
      </c>
      <c r="B7" t="s">
        <v>23</v>
      </c>
      <c r="C7" s="18">
        <v>42077</v>
      </c>
      <c r="D7" s="18"/>
      <c r="E7" s="22" t="s">
        <v>40</v>
      </c>
      <c r="F7" s="14"/>
      <c r="G7" t="s">
        <v>7</v>
      </c>
      <c r="H7" s="2">
        <v>6480</v>
      </c>
      <c r="I7">
        <v>400</v>
      </c>
      <c r="J7" s="20">
        <f>IF(exemple[[#This Row],[Date de fin d''occupation]]=0,NETWORKDAYS(exemple[[#This Row],[Date de début d''occupation]],"17/9/2015"),exemple[[#This Row],[Date de fin d''occupation]]-exemple[[#This Row],[Date de début d''occupation]])</f>
        <v>134</v>
      </c>
      <c r="K7">
        <v>4</v>
      </c>
      <c r="TDB7" s="6"/>
      <c r="TDC7" s="7"/>
      <c r="TDD7" s="8"/>
    </row>
    <row r="8" spans="1:11 13626:13628">
      <c r="A8" s="16" t="s">
        <v>16</v>
      </c>
      <c r="B8" t="s">
        <v>24</v>
      </c>
      <c r="C8" s="18">
        <v>41858</v>
      </c>
      <c r="D8" s="18">
        <v>41983</v>
      </c>
      <c r="E8" s="22" t="s">
        <v>41</v>
      </c>
      <c r="F8" s="14"/>
      <c r="G8" t="s">
        <v>4</v>
      </c>
      <c r="H8" s="2">
        <v>900</v>
      </c>
      <c r="I8">
        <v>50</v>
      </c>
      <c r="J8" s="20">
        <f>IF(exemple[[#This Row],[Date de fin d''occupation]]=0,NETWORKDAYS(exemple[[#This Row],[Date de début d''occupation]],"17/9/2015"),exemple[[#This Row],[Date de fin d''occupation]]-exemple[[#This Row],[Date de début d''occupation]])</f>
        <v>125</v>
      </c>
      <c r="K8">
        <v>4</v>
      </c>
      <c r="TDB8" s="6"/>
      <c r="TDC8" s="7"/>
      <c r="TDD8" s="8"/>
    </row>
    <row r="9" spans="1:11 13626:13628">
      <c r="A9" s="17" t="s">
        <v>15</v>
      </c>
      <c r="B9" t="s">
        <v>25</v>
      </c>
      <c r="C9" s="18">
        <v>41684</v>
      </c>
      <c r="D9" s="18"/>
      <c r="E9" s="22" t="s">
        <v>42</v>
      </c>
      <c r="F9" s="14"/>
      <c r="G9" t="s">
        <v>5</v>
      </c>
      <c r="H9" s="2">
        <v>1740</v>
      </c>
      <c r="I9">
        <v>100</v>
      </c>
      <c r="J9" s="20">
        <f>IF(exemple[[#This Row],[Date de fin d''occupation]]=0,NETWORKDAYS(exemple[[#This Row],[Date de début d''occupation]],"17/9/2015"),exemple[[#This Row],[Date de fin d''occupation]]-exemple[[#This Row],[Date de début d''occupation]])</f>
        <v>415</v>
      </c>
      <c r="K9">
        <v>5</v>
      </c>
      <c r="TDB9" s="6"/>
      <c r="TDC9" s="7"/>
      <c r="TDD9" s="8"/>
    </row>
    <row r="10" spans="1:11 13626:13628">
      <c r="A10" s="17" t="s">
        <v>15</v>
      </c>
      <c r="B10" t="s">
        <v>26</v>
      </c>
      <c r="C10" s="18">
        <v>42075</v>
      </c>
      <c r="D10" s="18">
        <v>42199</v>
      </c>
      <c r="E10" s="22" t="s">
        <v>43</v>
      </c>
      <c r="F10" s="14"/>
      <c r="G10" t="s">
        <v>6</v>
      </c>
      <c r="H10" s="2">
        <v>3360</v>
      </c>
      <c r="I10">
        <v>200</v>
      </c>
      <c r="J10" s="20">
        <f>IF(exemple[[#This Row],[Date de fin d''occupation]]=0,NETWORKDAYS(exemple[[#This Row],[Date de début d''occupation]],"17/9/2015"),exemple[[#This Row],[Date de fin d''occupation]]-exemple[[#This Row],[Date de début d''occupation]])</f>
        <v>124</v>
      </c>
      <c r="K10">
        <v>5</v>
      </c>
      <c r="TDB10" s="6"/>
      <c r="TDC10" s="7"/>
      <c r="TDD10" s="8"/>
    </row>
    <row r="11" spans="1:11 13626:13628">
      <c r="A11" s="17" t="s">
        <v>15</v>
      </c>
      <c r="B11" t="s">
        <v>27</v>
      </c>
      <c r="C11" s="18">
        <v>42192</v>
      </c>
      <c r="D11" s="18"/>
      <c r="E11" s="22" t="s">
        <v>44</v>
      </c>
      <c r="F11" s="14"/>
      <c r="G11" t="s">
        <v>7</v>
      </c>
      <c r="H11" s="2">
        <v>6480</v>
      </c>
      <c r="I11">
        <v>400</v>
      </c>
      <c r="J11" s="20">
        <f>IF(exemple[[#This Row],[Date de fin d''occupation]]=0,NETWORKDAYS(exemple[[#This Row],[Date de début d''occupation]],"17/9/2015"),exemple[[#This Row],[Date de fin d''occupation]]-exemple[[#This Row],[Date de début d''occupation]])</f>
        <v>53</v>
      </c>
      <c r="K11">
        <v>4</v>
      </c>
      <c r="TDB11" s="6"/>
      <c r="TDC11" s="7"/>
      <c r="TDD11" s="8"/>
    </row>
    <row r="12" spans="1:11 13626:13628">
      <c r="A12" s="16" t="s">
        <v>16</v>
      </c>
      <c r="B12" t="s">
        <v>24</v>
      </c>
      <c r="C12" s="18">
        <v>42018</v>
      </c>
      <c r="D12" s="18"/>
      <c r="E12" s="22" t="s">
        <v>45</v>
      </c>
      <c r="F12" s="14"/>
      <c r="G12" t="s">
        <v>6</v>
      </c>
      <c r="H12" s="2">
        <v>3360</v>
      </c>
      <c r="I12">
        <v>200</v>
      </c>
      <c r="J12" s="20">
        <f>IF(exemple[[#This Row],[Date de fin d''occupation]]=0,NETWORKDAYS(exemple[[#This Row],[Date de début d''occupation]],"17/9/2015"),exemple[[#This Row],[Date de fin d''occupation]]-exemple[[#This Row],[Date de début d''occupation]])</f>
        <v>177</v>
      </c>
      <c r="K12">
        <v>2</v>
      </c>
      <c r="TDB12" s="6"/>
      <c r="TDC12" s="7"/>
      <c r="TDD12" s="8"/>
    </row>
    <row r="13" spans="1:11 13626:13628">
      <c r="A13" s="16" t="s">
        <v>16</v>
      </c>
      <c r="B13" t="s">
        <v>28</v>
      </c>
      <c r="C13" s="18">
        <v>42167</v>
      </c>
      <c r="D13" s="18"/>
      <c r="E13" s="22" t="s">
        <v>46</v>
      </c>
      <c r="F13" s="14"/>
      <c r="G13" t="s">
        <v>7</v>
      </c>
      <c r="H13" s="2">
        <v>6480</v>
      </c>
      <c r="I13">
        <v>400</v>
      </c>
      <c r="J13" s="20">
        <f>IF(exemple[[#This Row],[Date de fin d''occupation]]=0,NETWORKDAYS(exemple[[#This Row],[Date de début d''occupation]],"17/9/2015"),exemple[[#This Row],[Date de fin d''occupation]]-exemple[[#This Row],[Date de début d''occupation]])</f>
        <v>70</v>
      </c>
      <c r="K13">
        <v>2</v>
      </c>
      <c r="TDB13" s="6"/>
      <c r="TDC13" s="7"/>
      <c r="TDD13" s="8"/>
    </row>
    <row r="14" spans="1:11 13626:13628">
      <c r="A14" s="16" t="s">
        <v>14</v>
      </c>
      <c r="B14" t="s">
        <v>29</v>
      </c>
      <c r="C14" s="18">
        <v>42038</v>
      </c>
      <c r="D14" s="18">
        <v>42104</v>
      </c>
      <c r="E14" s="22" t="s">
        <v>47</v>
      </c>
      <c r="F14" s="14"/>
      <c r="G14" t="s">
        <v>6</v>
      </c>
      <c r="H14" s="2">
        <v>3360</v>
      </c>
      <c r="I14">
        <v>200</v>
      </c>
      <c r="J14" s="20">
        <f>IF(exemple[[#This Row],[Date de fin d''occupation]]=0,NETWORKDAYS(exemple[[#This Row],[Date de début d''occupation]],"17/9/2015"),exemple[[#This Row],[Date de fin d''occupation]]-exemple[[#This Row],[Date de début d''occupation]])</f>
        <v>66</v>
      </c>
      <c r="K14">
        <v>3</v>
      </c>
      <c r="TDB14" s="6"/>
      <c r="TDC14" s="7"/>
      <c r="TDD14" s="8"/>
    </row>
    <row r="15" spans="1:11 13626:13628">
      <c r="A15" s="16" t="s">
        <v>14</v>
      </c>
      <c r="B15" s="1" t="s">
        <v>30</v>
      </c>
      <c r="C15" s="19">
        <v>42101</v>
      </c>
      <c r="D15" s="19"/>
      <c r="E15" s="22" t="s">
        <v>48</v>
      </c>
      <c r="F15" s="14"/>
      <c r="G15" t="s">
        <v>7</v>
      </c>
      <c r="H15" s="2">
        <v>6480</v>
      </c>
      <c r="I15">
        <v>400</v>
      </c>
      <c r="J15" s="20">
        <f>IF(exemple[[#This Row],[Date de fin d''occupation]]=0,NETWORKDAYS(exemple[[#This Row],[Date de début d''occupation]],"17/9/2015"),exemple[[#This Row],[Date de fin d''occupation]]-exemple[[#This Row],[Date de début d''occupation]])</f>
        <v>118</v>
      </c>
      <c r="K15">
        <v>4</v>
      </c>
      <c r="TDB15" s="6"/>
      <c r="TDC15" s="7"/>
      <c r="TDD15" s="8"/>
    </row>
    <row r="16" spans="1:11 13626:13628">
      <c r="TDB16" s="6"/>
      <c r="TDC16" s="7"/>
      <c r="TDD16" s="8"/>
    </row>
    <row r="17" spans="3:7 13626:13628">
      <c r="TDB17" s="6"/>
      <c r="TDC17" s="7"/>
      <c r="TDD17" s="8"/>
    </row>
    <row r="18" spans="3:7 13626:13628">
      <c r="TDB18" s="9"/>
      <c r="TDC18" s="10"/>
      <c r="TDD18" s="11"/>
    </row>
    <row r="19" spans="3:7 13626:13628">
      <c r="C19" s="18">
        <v>42014</v>
      </c>
      <c r="D19" s="18"/>
      <c r="G19">
        <f>NETWORKDAYS(C19,"17/09/2015")</f>
        <v>179</v>
      </c>
    </row>
    <row r="20" spans="3:7 13626:13628">
      <c r="C20" s="18">
        <v>42264</v>
      </c>
      <c r="D20" s="18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selection activeCell="K24" sqref="K24"/>
    </sheetView>
  </sheetViews>
  <sheetFormatPr baseColWidth="10" defaultColWidth="8.28515625" defaultRowHeight="1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>
      <c r="A2" s="66" t="s">
        <v>132</v>
      </c>
    </row>
    <row r="3" spans="1:1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>
      <c r="B4" s="46"/>
      <c r="C4" s="67">
        <v>2015</v>
      </c>
      <c r="D4" s="67">
        <f>C4+1</f>
        <v>2016</v>
      </c>
      <c r="E4" s="67">
        <f t="shared" ref="E4:H4" si="0">D4+1</f>
        <v>2017</v>
      </c>
      <c r="F4" s="67">
        <f t="shared" si="0"/>
        <v>2018</v>
      </c>
      <c r="G4" s="67">
        <f t="shared" si="0"/>
        <v>2019</v>
      </c>
      <c r="H4" s="67">
        <f t="shared" si="0"/>
        <v>2020</v>
      </c>
      <c r="K4" t="s">
        <v>133</v>
      </c>
    </row>
    <row r="5" spans="1:15">
      <c r="B5" s="46"/>
      <c r="C5" s="68" t="s">
        <v>134</v>
      </c>
      <c r="D5" s="68" t="s">
        <v>135</v>
      </c>
      <c r="E5" s="67"/>
      <c r="F5" s="67"/>
      <c r="G5" s="67"/>
      <c r="H5" s="67"/>
      <c r="I5" s="46" t="s">
        <v>136</v>
      </c>
      <c r="K5" s="69" t="s">
        <v>137</v>
      </c>
      <c r="L5" s="69" t="s">
        <v>138</v>
      </c>
      <c r="M5" s="69" t="s">
        <v>139</v>
      </c>
      <c r="N5" s="69" t="s">
        <v>131</v>
      </c>
      <c r="O5" s="69" t="s">
        <v>140</v>
      </c>
    </row>
    <row r="6" spans="1:15">
      <c r="A6" s="70" t="s">
        <v>141</v>
      </c>
      <c r="B6" s="71">
        <v>0.2</v>
      </c>
      <c r="C6" s="72">
        <f>N10</f>
        <v>446.13818181818181</v>
      </c>
      <c r="D6" s="72">
        <f>C6*(1+$B$6)</f>
        <v>535.3658181818181</v>
      </c>
      <c r="E6" s="72">
        <f t="shared" ref="E6:H6" si="1">D6*(1+$B$6)</f>
        <v>642.43898181818167</v>
      </c>
      <c r="F6" s="72">
        <f t="shared" si="1"/>
        <v>770.92677818181801</v>
      </c>
      <c r="G6" s="72">
        <f t="shared" si="1"/>
        <v>925.11213381818152</v>
      </c>
      <c r="H6" s="72">
        <f t="shared" si="1"/>
        <v>1110.1345605818178</v>
      </c>
      <c r="I6" s="73">
        <f>+H6/O10</f>
        <v>2.3569735893456856</v>
      </c>
      <c r="K6" s="47">
        <v>12</v>
      </c>
      <c r="L6" s="47">
        <f>12*355</f>
        <v>4260</v>
      </c>
      <c r="M6" s="46">
        <f>L6*K6</f>
        <v>51120</v>
      </c>
      <c r="N6" s="74">
        <v>0.8</v>
      </c>
      <c r="O6" s="46">
        <f>N6*M6</f>
        <v>40896</v>
      </c>
    </row>
    <row r="7" spans="1:15">
      <c r="A7" s="70" t="s">
        <v>142</v>
      </c>
      <c r="B7" s="71">
        <v>0.15</v>
      </c>
      <c r="C7" s="72">
        <f>O14/1000</f>
        <v>21.6</v>
      </c>
      <c r="D7" s="72">
        <f>C7*(1+$B$7)</f>
        <v>24.84</v>
      </c>
      <c r="E7" s="72">
        <f t="shared" ref="E7:H7" si="2">D7*(1+$B$7)</f>
        <v>28.565999999999999</v>
      </c>
      <c r="F7" s="72">
        <f t="shared" si="2"/>
        <v>32.850899999999996</v>
      </c>
      <c r="G7" s="72">
        <f t="shared" si="2"/>
        <v>37.778534999999991</v>
      </c>
      <c r="H7" s="72">
        <f t="shared" si="2"/>
        <v>43.445315249999986</v>
      </c>
    </row>
    <row r="8" spans="1:15">
      <c r="A8" s="70" t="s">
        <v>143</v>
      </c>
      <c r="B8" s="71">
        <v>0.2</v>
      </c>
      <c r="C8" s="75">
        <f>M18/2000</f>
        <v>10</v>
      </c>
      <c r="D8" s="72">
        <f>+C8*(1+$B$8)</f>
        <v>12</v>
      </c>
      <c r="E8" s="72">
        <f t="shared" ref="E8:H8" si="3">+D8*(1+$B$8)</f>
        <v>14.399999999999999</v>
      </c>
      <c r="F8" s="72">
        <f t="shared" si="3"/>
        <v>17.279999999999998</v>
      </c>
      <c r="G8" s="72">
        <f t="shared" si="3"/>
        <v>20.735999999999997</v>
      </c>
      <c r="H8" s="72">
        <f t="shared" si="3"/>
        <v>24.883199999999995</v>
      </c>
      <c r="K8" t="s">
        <v>144</v>
      </c>
    </row>
    <row r="9" spans="1:15">
      <c r="A9" s="70" t="s">
        <v>145</v>
      </c>
      <c r="B9" s="46"/>
      <c r="C9" s="76">
        <v>25</v>
      </c>
      <c r="D9" s="76">
        <v>25</v>
      </c>
      <c r="E9" s="76">
        <v>25</v>
      </c>
      <c r="F9" s="76">
        <v>15</v>
      </c>
      <c r="G9" s="76">
        <v>10</v>
      </c>
      <c r="H9" s="76">
        <v>0</v>
      </c>
      <c r="K9" s="69" t="s">
        <v>146</v>
      </c>
      <c r="L9" s="69" t="s">
        <v>147</v>
      </c>
      <c r="M9" s="69" t="s">
        <v>148</v>
      </c>
      <c r="N9" s="69" t="s">
        <v>149</v>
      </c>
      <c r="O9" s="77" t="s">
        <v>150</v>
      </c>
    </row>
    <row r="10" spans="1:15">
      <c r="A10" s="78" t="s">
        <v>151</v>
      </c>
      <c r="B10" s="67"/>
      <c r="C10" s="79">
        <f>C6+C7+C8+C9</f>
        <v>502.73818181818183</v>
      </c>
      <c r="D10" s="79">
        <f t="shared" ref="D10:H10" si="4">D6+D7+D8+D9</f>
        <v>597.20581818181813</v>
      </c>
      <c r="E10" s="79">
        <f t="shared" si="4"/>
        <v>710.40498181818168</v>
      </c>
      <c r="F10" s="79">
        <f t="shared" si="4"/>
        <v>836.05767818181801</v>
      </c>
      <c r="G10" s="79">
        <f t="shared" si="4"/>
        <v>993.62666881818154</v>
      </c>
      <c r="H10" s="79">
        <f t="shared" si="4"/>
        <v>1178.4630758318178</v>
      </c>
      <c r="K10" s="80">
        <v>220</v>
      </c>
      <c r="L10" s="81">
        <f>O6/K10</f>
        <v>185.8909090909091</v>
      </c>
      <c r="M10" s="80">
        <v>2400</v>
      </c>
      <c r="N10" s="81">
        <f>M10*L10/1000</f>
        <v>446.13818181818181</v>
      </c>
      <c r="O10" s="47">
        <v>471</v>
      </c>
    </row>
    <row r="11" spans="1:15">
      <c r="A11" s="82" t="s">
        <v>152</v>
      </c>
      <c r="B11" s="71">
        <v>0.02</v>
      </c>
      <c r="C11" s="75">
        <f>('[1]Structure des flux'!A16+'[1]Structure des flux'!A17+'[1]Structure des flux'!A18+'[1]Structure des flux'!A19)/12*15/1000</f>
        <v>55.583750000000002</v>
      </c>
      <c r="D11" s="72">
        <f>C11*(1+$B$11)</f>
        <v>56.695425</v>
      </c>
      <c r="E11" s="72">
        <f t="shared" ref="E11:H11" si="5">D11*(1+$B$11)</f>
        <v>57.829333500000004</v>
      </c>
      <c r="F11" s="72">
        <f t="shared" si="5"/>
        <v>58.985920170000007</v>
      </c>
      <c r="G11" s="72">
        <f t="shared" si="5"/>
        <v>60.16563857340001</v>
      </c>
      <c r="H11" s="72">
        <f t="shared" si="5"/>
        <v>61.368951344868009</v>
      </c>
    </row>
    <row r="12" spans="1:15">
      <c r="A12" s="82" t="s">
        <v>153</v>
      </c>
      <c r="B12" s="71">
        <v>0.02</v>
      </c>
      <c r="C12" s="76">
        <v>5</v>
      </c>
      <c r="D12" s="72">
        <f>C12*(1+$B$12)</f>
        <v>5.0999999999999996</v>
      </c>
      <c r="E12" s="72">
        <f t="shared" ref="E12:H12" si="6">D12*(1+$B$12)</f>
        <v>5.202</v>
      </c>
      <c r="F12" s="72">
        <f t="shared" si="6"/>
        <v>5.3060400000000003</v>
      </c>
      <c r="G12" s="72">
        <f t="shared" si="6"/>
        <v>5.4121608000000005</v>
      </c>
      <c r="H12" s="72">
        <f t="shared" si="6"/>
        <v>5.5204040160000005</v>
      </c>
      <c r="K12" t="s">
        <v>154</v>
      </c>
    </row>
    <row r="13" spans="1:15">
      <c r="A13" s="82" t="s">
        <v>155</v>
      </c>
      <c r="B13" s="46"/>
      <c r="C13" s="76">
        <v>3</v>
      </c>
      <c r="D13" s="72">
        <f>C13*(1+$B$13)</f>
        <v>3</v>
      </c>
      <c r="E13" s="72">
        <f t="shared" ref="E13:H13" si="7">D13*(1+$B$13)</f>
        <v>3</v>
      </c>
      <c r="F13" s="72">
        <f t="shared" si="7"/>
        <v>3</v>
      </c>
      <c r="G13" s="72">
        <f t="shared" si="7"/>
        <v>3</v>
      </c>
      <c r="H13" s="72">
        <f t="shared" si="7"/>
        <v>3</v>
      </c>
      <c r="K13" s="69" t="s">
        <v>0</v>
      </c>
      <c r="L13" s="69" t="s">
        <v>139</v>
      </c>
      <c r="M13" s="69" t="s">
        <v>131</v>
      </c>
      <c r="N13" s="69" t="s">
        <v>156</v>
      </c>
      <c r="O13" s="69" t="s">
        <v>64</v>
      </c>
    </row>
    <row r="14" spans="1:15">
      <c r="A14" s="82" t="s">
        <v>157</v>
      </c>
      <c r="B14" s="46"/>
      <c r="C14" s="76">
        <v>2</v>
      </c>
      <c r="D14" s="72">
        <f>C14*(1+$B$14)</f>
        <v>2</v>
      </c>
      <c r="E14" s="72">
        <f t="shared" ref="E14:H14" si="8">D14*(1+$B$14)</f>
        <v>2</v>
      </c>
      <c r="F14" s="72">
        <f t="shared" si="8"/>
        <v>2</v>
      </c>
      <c r="G14" s="72">
        <f t="shared" si="8"/>
        <v>2</v>
      </c>
      <c r="H14" s="72">
        <f t="shared" si="8"/>
        <v>2</v>
      </c>
      <c r="K14" s="47">
        <v>2</v>
      </c>
      <c r="L14" s="47">
        <f>9*200*K14</f>
        <v>3600</v>
      </c>
      <c r="M14" s="74">
        <v>0.3</v>
      </c>
      <c r="N14" s="47">
        <v>20</v>
      </c>
      <c r="O14" s="46">
        <f>N14*M14*L14</f>
        <v>21600</v>
      </c>
    </row>
    <row r="15" spans="1:15">
      <c r="A15" s="82" t="s">
        <v>158</v>
      </c>
      <c r="B15" s="71">
        <v>0.02</v>
      </c>
      <c r="C15" s="72">
        <f>SUM('[1]Structure des flux'!A6:A10)/12*15/1000+'[1]Structure des flux'!A28/1000</f>
        <v>9.8042500000000015</v>
      </c>
      <c r="D15" s="72">
        <f>C15*(1+$B$15)</f>
        <v>10.000335000000002</v>
      </c>
      <c r="E15" s="72">
        <f t="shared" ref="E15:H15" si="9">D15*(1+$B$15)</f>
        <v>10.200341700000001</v>
      </c>
      <c r="F15" s="72">
        <f t="shared" si="9"/>
        <v>10.404348534</v>
      </c>
      <c r="G15" s="72">
        <f t="shared" si="9"/>
        <v>10.612435504680001</v>
      </c>
      <c r="H15" s="72">
        <f t="shared" si="9"/>
        <v>10.824684214773601</v>
      </c>
    </row>
    <row r="16" spans="1:15">
      <c r="A16" s="82" t="s">
        <v>159</v>
      </c>
      <c r="B16" s="71">
        <v>0.02</v>
      </c>
      <c r="C16" s="76">
        <v>15</v>
      </c>
      <c r="D16" s="76">
        <v>5</v>
      </c>
      <c r="E16" s="72">
        <f t="shared" ref="E16:H16" si="10">D16*(1+$B$16)</f>
        <v>5.0999999999999996</v>
      </c>
      <c r="F16" s="72">
        <f t="shared" si="10"/>
        <v>5.202</v>
      </c>
      <c r="G16" s="72">
        <f t="shared" si="10"/>
        <v>5.3060400000000003</v>
      </c>
      <c r="H16" s="72">
        <f t="shared" si="10"/>
        <v>5.4121608000000005</v>
      </c>
      <c r="K16" t="s">
        <v>160</v>
      </c>
    </row>
    <row r="17" spans="1:13">
      <c r="A17" s="82" t="s">
        <v>161</v>
      </c>
      <c r="B17" s="71">
        <v>0.02</v>
      </c>
      <c r="C17" s="75">
        <f>'[1]Structure des flux'!A48/1000</f>
        <v>80</v>
      </c>
      <c r="D17" s="76">
        <v>100</v>
      </c>
      <c r="E17" s="72">
        <f>D17*(1+$B$17)</f>
        <v>102</v>
      </c>
      <c r="F17" s="72">
        <f t="shared" ref="F17:H17" si="11">E17*(1+$B$17)</f>
        <v>104.04</v>
      </c>
      <c r="G17" s="72">
        <f t="shared" si="11"/>
        <v>106.1208</v>
      </c>
      <c r="H17" s="72">
        <f t="shared" si="11"/>
        <v>108.243216</v>
      </c>
      <c r="K17" s="69" t="s">
        <v>131</v>
      </c>
      <c r="L17" s="69" t="s">
        <v>162</v>
      </c>
      <c r="M17" s="69" t="s">
        <v>163</v>
      </c>
    </row>
    <row r="18" spans="1:13">
      <c r="A18" s="82" t="s">
        <v>164</v>
      </c>
      <c r="B18" s="71">
        <v>0.02</v>
      </c>
      <c r="C18" s="76">
        <v>12</v>
      </c>
      <c r="D18" s="76">
        <v>25</v>
      </c>
      <c r="E18" s="72">
        <f>D18*(1+$B$18)</f>
        <v>25.5</v>
      </c>
      <c r="F18" s="76">
        <f>E18*2</f>
        <v>51</v>
      </c>
      <c r="G18" s="72">
        <f t="shared" ref="G18:H18" si="12">F18*(1+$B$18)</f>
        <v>52.02</v>
      </c>
      <c r="H18" s="72">
        <f t="shared" si="12"/>
        <v>53.060400000000001</v>
      </c>
      <c r="K18" s="74">
        <v>0.05</v>
      </c>
      <c r="L18" s="47">
        <v>400000</v>
      </c>
      <c r="M18" s="46">
        <f>L18*K18</f>
        <v>20000</v>
      </c>
    </row>
    <row r="19" spans="1:13">
      <c r="A19" s="82" t="s">
        <v>165</v>
      </c>
      <c r="B19" s="71">
        <v>0.02</v>
      </c>
      <c r="C19" s="76">
        <v>10</v>
      </c>
      <c r="D19" s="76">
        <v>15</v>
      </c>
      <c r="E19" s="75">
        <f t="shared" ref="E19:H19" si="13">+D19*(1+$B$19)</f>
        <v>15.3</v>
      </c>
      <c r="F19" s="76">
        <v>40</v>
      </c>
      <c r="G19" s="75">
        <f t="shared" si="13"/>
        <v>40.799999999999997</v>
      </c>
      <c r="H19" s="75">
        <f t="shared" si="13"/>
        <v>41.616</v>
      </c>
      <c r="K19" s="83"/>
      <c r="L19" s="84"/>
      <c r="M19" s="1"/>
    </row>
    <row r="20" spans="1:13">
      <c r="A20" s="82" t="s">
        <v>166</v>
      </c>
      <c r="B20" s="71">
        <v>0.02</v>
      </c>
      <c r="C20" s="76">
        <v>5</v>
      </c>
      <c r="D20" s="72">
        <f>C20*(1+$B$20)</f>
        <v>5.0999999999999996</v>
      </c>
      <c r="E20" s="72">
        <f>D20*(1+$B$20)</f>
        <v>5.202</v>
      </c>
      <c r="F20" s="72">
        <f t="shared" ref="F20:H20" si="14">E20*(1+$B$20)</f>
        <v>5.3060400000000003</v>
      </c>
      <c r="G20" s="72">
        <f t="shared" si="14"/>
        <v>5.4121608000000005</v>
      </c>
      <c r="H20" s="72">
        <f t="shared" si="14"/>
        <v>5.5204040160000005</v>
      </c>
    </row>
    <row r="21" spans="1:13">
      <c r="A21" s="82" t="s">
        <v>167</v>
      </c>
      <c r="B21" s="71">
        <v>0.02</v>
      </c>
      <c r="C21" s="76">
        <v>15</v>
      </c>
      <c r="D21" s="72">
        <f>C21*(1+$B$21)</f>
        <v>15.3</v>
      </c>
      <c r="E21" s="72">
        <f>D21*(1+$B$21)</f>
        <v>15.606000000000002</v>
      </c>
      <c r="F21" s="72">
        <f t="shared" ref="F21:H21" si="15">E21*(1+$B$21)</f>
        <v>15.918120000000002</v>
      </c>
      <c r="G21" s="72">
        <f t="shared" si="15"/>
        <v>16.236482400000003</v>
      </c>
      <c r="H21" s="72">
        <f t="shared" si="15"/>
        <v>16.561212048000005</v>
      </c>
    </row>
    <row r="22" spans="1:13">
      <c r="A22" s="82" t="s">
        <v>168</v>
      </c>
      <c r="B22" s="47">
        <v>5</v>
      </c>
      <c r="C22" s="72">
        <f>B51/$B$22</f>
        <v>1.4</v>
      </c>
      <c r="D22" s="72">
        <f>C51/$B$22</f>
        <v>1.1199999999999999</v>
      </c>
      <c r="E22" s="72">
        <f t="shared" ref="E22:H22" si="16">D51/$B$22</f>
        <v>0.89599999999999991</v>
      </c>
      <c r="F22" s="72">
        <f t="shared" si="16"/>
        <v>0.71679999999999988</v>
      </c>
      <c r="G22" s="72">
        <f t="shared" si="16"/>
        <v>0.57343999999999995</v>
      </c>
      <c r="H22" s="72">
        <f t="shared" si="16"/>
        <v>0.45875199999999994</v>
      </c>
    </row>
    <row r="23" spans="1:13">
      <c r="A23" s="82" t="s">
        <v>169</v>
      </c>
      <c r="B23" s="47">
        <v>5</v>
      </c>
      <c r="C23" s="72">
        <v>0</v>
      </c>
      <c r="D23" s="72">
        <f>C52/$B$23</f>
        <v>6</v>
      </c>
      <c r="E23" s="72">
        <f t="shared" ref="E23:H23" si="17">D52/$B$23</f>
        <v>4.8</v>
      </c>
      <c r="F23" s="72">
        <f t="shared" si="17"/>
        <v>3.84</v>
      </c>
      <c r="G23" s="72">
        <f t="shared" si="17"/>
        <v>3.0720000000000001</v>
      </c>
      <c r="H23" s="72">
        <f t="shared" si="17"/>
        <v>2.4576000000000002</v>
      </c>
    </row>
    <row r="24" spans="1:13">
      <c r="A24" s="85" t="s">
        <v>170</v>
      </c>
      <c r="B24" s="67"/>
      <c r="C24" s="79">
        <f>+C10-SUM(C11:C22)</f>
        <v>288.95018181818182</v>
      </c>
      <c r="D24" s="79">
        <f t="shared" ref="D24:H24" si="18">+D10-SUM(D11:D22)</f>
        <v>353.89005818181812</v>
      </c>
      <c r="E24" s="79">
        <f t="shared" si="18"/>
        <v>462.56930661818171</v>
      </c>
      <c r="F24" s="79">
        <f t="shared" si="18"/>
        <v>534.17840947781804</v>
      </c>
      <c r="G24" s="79">
        <f t="shared" si="18"/>
        <v>685.96751074010149</v>
      </c>
      <c r="H24" s="79">
        <f t="shared" si="18"/>
        <v>864.87689139217628</v>
      </c>
    </row>
    <row r="25" spans="1:13">
      <c r="A25" s="85" t="s">
        <v>171</v>
      </c>
      <c r="B25" s="67"/>
      <c r="C25" s="86">
        <f>C24/C10</f>
        <v>0.57475280825732533</v>
      </c>
      <c r="D25" s="86">
        <f t="shared" ref="D25:H25" si="19">D24/D10</f>
        <v>0.59257637385253503</v>
      </c>
      <c r="E25" s="86">
        <f t="shared" si="19"/>
        <v>0.65113466045001622</v>
      </c>
      <c r="F25" s="86">
        <f t="shared" si="19"/>
        <v>0.6389253079279178</v>
      </c>
      <c r="G25" s="86">
        <f t="shared" si="19"/>
        <v>0.69036745114338616</v>
      </c>
      <c r="H25" s="86">
        <f t="shared" si="19"/>
        <v>0.73390240995179523</v>
      </c>
    </row>
    <row r="26" spans="1:13">
      <c r="A26" s="82" t="s">
        <v>172</v>
      </c>
      <c r="B26" s="46"/>
      <c r="C26" s="72"/>
      <c r="D26" s="72"/>
      <c r="E26" s="72"/>
      <c r="F26" s="72"/>
      <c r="G26" s="72"/>
      <c r="H26" s="72"/>
    </row>
    <row r="27" spans="1:13">
      <c r="A27" s="82" t="s">
        <v>173</v>
      </c>
      <c r="B27" s="46"/>
      <c r="C27" s="72"/>
      <c r="D27" s="72"/>
      <c r="E27" s="72"/>
      <c r="F27" s="72"/>
      <c r="G27" s="72"/>
      <c r="H27" s="72"/>
    </row>
    <row r="28" spans="1:13">
      <c r="A28" s="82" t="s">
        <v>174</v>
      </c>
      <c r="B28" s="71">
        <v>0.25</v>
      </c>
      <c r="C28" s="72">
        <f>-(C24+C26+C27)*$B$28</f>
        <v>-72.237545454545455</v>
      </c>
      <c r="D28" s="72">
        <f t="shared" ref="D28:H28" si="20">-(D24+D26+D27)*$B$28</f>
        <v>-88.47251454545453</v>
      </c>
      <c r="E28" s="72">
        <f t="shared" si="20"/>
        <v>-115.64232665454543</v>
      </c>
      <c r="F28" s="72">
        <f t="shared" si="20"/>
        <v>-133.54460236945451</v>
      </c>
      <c r="G28" s="72">
        <f t="shared" si="20"/>
        <v>-171.49187768502537</v>
      </c>
      <c r="H28" s="72">
        <f t="shared" si="20"/>
        <v>-216.21922284804407</v>
      </c>
    </row>
    <row r="29" spans="1:13">
      <c r="A29" s="85" t="s">
        <v>175</v>
      </c>
      <c r="B29" s="67"/>
      <c r="C29" s="79">
        <f>C24+C26+C27+C28</f>
        <v>216.71263636363636</v>
      </c>
      <c r="D29" s="79">
        <f t="shared" ref="D29:H29" si="21">D24+D26+D27+D28</f>
        <v>265.41754363636358</v>
      </c>
      <c r="E29" s="79">
        <f t="shared" si="21"/>
        <v>346.92697996363631</v>
      </c>
      <c r="F29" s="79">
        <f t="shared" si="21"/>
        <v>400.6338071083635</v>
      </c>
      <c r="G29" s="79">
        <f t="shared" si="21"/>
        <v>514.47563305507606</v>
      </c>
      <c r="H29" s="79">
        <f t="shared" si="21"/>
        <v>648.65766854413221</v>
      </c>
    </row>
    <row r="31" spans="1:13">
      <c r="A31" s="46"/>
      <c r="B31" s="46"/>
      <c r="C31" s="87">
        <f t="shared" ref="C31:H31" si="22">+C4</f>
        <v>2015</v>
      </c>
      <c r="D31" s="87">
        <f t="shared" si="22"/>
        <v>2016</v>
      </c>
      <c r="E31" s="87">
        <f t="shared" si="22"/>
        <v>2017</v>
      </c>
      <c r="F31" s="87">
        <f t="shared" si="22"/>
        <v>2018</v>
      </c>
      <c r="G31" s="87">
        <f t="shared" si="22"/>
        <v>2019</v>
      </c>
      <c r="H31" s="87">
        <f t="shared" si="22"/>
        <v>2020</v>
      </c>
    </row>
    <row r="32" spans="1:13">
      <c r="A32" s="46" t="s">
        <v>176</v>
      </c>
      <c r="B32" s="72"/>
      <c r="C32" s="72">
        <f>C29+C22+C23</f>
        <v>218.11263636363637</v>
      </c>
      <c r="D32" s="72">
        <f t="shared" ref="D32:H32" si="23">D29+D22+D23</f>
        <v>272.53754363636358</v>
      </c>
      <c r="E32" s="72">
        <f t="shared" si="23"/>
        <v>352.62297996363634</v>
      </c>
      <c r="F32" s="72">
        <f t="shared" si="23"/>
        <v>405.19060710836345</v>
      </c>
      <c r="G32" s="72">
        <f t="shared" si="23"/>
        <v>518.12107305507607</v>
      </c>
      <c r="H32" s="72">
        <f t="shared" si="23"/>
        <v>651.57402054413217</v>
      </c>
    </row>
    <row r="33" spans="1:8">
      <c r="A33" s="82" t="s">
        <v>177</v>
      </c>
      <c r="B33" s="76">
        <v>60</v>
      </c>
      <c r="C33" s="72"/>
      <c r="D33" s="76">
        <v>-5</v>
      </c>
      <c r="E33" s="76">
        <v>-20</v>
      </c>
      <c r="F33" s="76"/>
      <c r="G33" s="72"/>
      <c r="H33" s="72"/>
    </row>
    <row r="34" spans="1:8">
      <c r="A34" s="82" t="s">
        <v>178</v>
      </c>
      <c r="B34" s="76"/>
      <c r="C34" s="72"/>
      <c r="D34" s="72"/>
      <c r="E34" s="72"/>
      <c r="F34" s="72"/>
      <c r="G34" s="72"/>
      <c r="H34" s="72"/>
    </row>
    <row r="35" spans="1:8">
      <c r="A35" s="82" t="s">
        <v>179</v>
      </c>
      <c r="B35" s="72"/>
      <c r="C35" s="72"/>
      <c r="D35" s="72"/>
      <c r="E35" s="72"/>
      <c r="F35" s="72"/>
      <c r="G35" s="72"/>
      <c r="H35" s="72"/>
    </row>
    <row r="36" spans="1:8">
      <c r="A36" s="82" t="s">
        <v>180</v>
      </c>
      <c r="B36" s="72"/>
      <c r="C36" s="72">
        <f>C67</f>
        <v>-0.59752262349522578</v>
      </c>
      <c r="D36" s="72">
        <f t="shared" ref="D36:H36" si="24">D67</f>
        <v>1.1971073474470737</v>
      </c>
      <c r="E36" s="72">
        <f t="shared" si="24"/>
        <v>-1.652474836031546</v>
      </c>
      <c r="F36" s="72">
        <f t="shared" si="24"/>
        <v>0.22947622415940572</v>
      </c>
      <c r="G36" s="72">
        <f t="shared" si="24"/>
        <v>-2.3317751885429647</v>
      </c>
      <c r="H36" s="72">
        <f t="shared" si="24"/>
        <v>-2.7748386906351179</v>
      </c>
    </row>
    <row r="37" spans="1:8">
      <c r="A37" s="82" t="s">
        <v>181</v>
      </c>
      <c r="B37" s="72">
        <v>-7</v>
      </c>
      <c r="C37" s="72"/>
      <c r="D37" s="72"/>
      <c r="E37" s="72"/>
      <c r="F37" s="72"/>
      <c r="G37" s="72"/>
      <c r="H37" s="72"/>
    </row>
    <row r="38" spans="1:8">
      <c r="A38" s="82" t="s">
        <v>182</v>
      </c>
      <c r="B38" s="72"/>
      <c r="C38" s="76">
        <v>-30</v>
      </c>
      <c r="D38" s="72"/>
      <c r="E38" s="72"/>
      <c r="F38" s="72"/>
      <c r="G38" s="72"/>
      <c r="H38" s="72"/>
    </row>
    <row r="39" spans="1:8">
      <c r="A39" s="82" t="s">
        <v>183</v>
      </c>
      <c r="B39" s="72">
        <v>-8</v>
      </c>
      <c r="C39" s="72"/>
      <c r="D39" s="72"/>
      <c r="E39" s="72"/>
      <c r="F39" s="72"/>
      <c r="G39" s="72"/>
      <c r="H39" s="72"/>
    </row>
    <row r="40" spans="1:8">
      <c r="A40" s="85" t="s">
        <v>184</v>
      </c>
      <c r="B40" s="79">
        <f>SUM(B32:B39)</f>
        <v>45</v>
      </c>
      <c r="C40" s="79">
        <f>B40+SUM(C32:C39)</f>
        <v>232.51511374014115</v>
      </c>
      <c r="D40" s="79">
        <f>C40+SUM(D32:D39)</f>
        <v>501.24976472395178</v>
      </c>
      <c r="E40" s="79">
        <f t="shared" ref="E40:H40" si="25">D40+SUM(E32:E39)</f>
        <v>832.22026985155662</v>
      </c>
      <c r="F40" s="79">
        <f t="shared" si="25"/>
        <v>1237.6403531840795</v>
      </c>
      <c r="G40" s="79">
        <f t="shared" si="25"/>
        <v>1753.4296510506124</v>
      </c>
      <c r="H40" s="79">
        <f t="shared" si="25"/>
        <v>2402.2288329041094</v>
      </c>
    </row>
    <row r="42" spans="1:8">
      <c r="A42" s="46" t="s">
        <v>185</v>
      </c>
      <c r="B42" s="46"/>
      <c r="C42" s="87">
        <f>C31</f>
        <v>2015</v>
      </c>
      <c r="D42" s="87">
        <f t="shared" ref="D42:H42" si="26">D31</f>
        <v>2016</v>
      </c>
      <c r="E42" s="87">
        <f t="shared" si="26"/>
        <v>2017</v>
      </c>
      <c r="F42" s="87">
        <f t="shared" si="26"/>
        <v>2018</v>
      </c>
      <c r="G42" s="87">
        <f t="shared" si="26"/>
        <v>2019</v>
      </c>
      <c r="H42" s="87">
        <f t="shared" si="26"/>
        <v>2020</v>
      </c>
    </row>
    <row r="43" spans="1:8">
      <c r="A43" s="46" t="s">
        <v>186</v>
      </c>
      <c r="B43" s="72">
        <f>+B34</f>
        <v>0</v>
      </c>
      <c r="C43" s="72">
        <f>B43+C34+C29</f>
        <v>216.71263636363636</v>
      </c>
      <c r="D43" s="72">
        <f>C43+D34+D29</f>
        <v>482.13017999999994</v>
      </c>
      <c r="E43" s="72">
        <f t="shared" ref="E43:H43" si="27">D43+E34+E29</f>
        <v>829.0571599636362</v>
      </c>
      <c r="F43" s="72">
        <f t="shared" si="27"/>
        <v>1229.6909670719997</v>
      </c>
      <c r="G43" s="72">
        <f t="shared" si="27"/>
        <v>1744.1666001270758</v>
      </c>
      <c r="H43" s="72">
        <f t="shared" si="27"/>
        <v>2392.8242686712078</v>
      </c>
    </row>
    <row r="44" spans="1:8">
      <c r="A44" s="46" t="s">
        <v>187</v>
      </c>
      <c r="B44" s="72">
        <f>+B33</f>
        <v>60</v>
      </c>
      <c r="C44" s="72">
        <f>+B44+C33</f>
        <v>60</v>
      </c>
      <c r="D44" s="72">
        <f>+C44+D33</f>
        <v>55</v>
      </c>
      <c r="E44" s="72">
        <f t="shared" ref="E44:H44" si="28">+D44+E33</f>
        <v>35</v>
      </c>
      <c r="F44" s="72">
        <f t="shared" si="28"/>
        <v>35</v>
      </c>
      <c r="G44" s="72">
        <f t="shared" si="28"/>
        <v>35</v>
      </c>
      <c r="H44" s="72">
        <f t="shared" si="28"/>
        <v>35</v>
      </c>
    </row>
    <row r="45" spans="1:8">
      <c r="A45" s="46" t="s">
        <v>188</v>
      </c>
      <c r="B45" s="72"/>
      <c r="C45" s="72">
        <f>+B45+C35</f>
        <v>0</v>
      </c>
      <c r="D45" s="72">
        <f>+C45+D35</f>
        <v>0</v>
      </c>
      <c r="E45" s="72">
        <f t="shared" ref="E45:H45" si="29">+D45+E35</f>
        <v>0</v>
      </c>
      <c r="F45" s="72">
        <f t="shared" si="29"/>
        <v>0</v>
      </c>
      <c r="G45" s="72">
        <f t="shared" si="29"/>
        <v>0</v>
      </c>
      <c r="H45" s="72">
        <f t="shared" si="29"/>
        <v>0</v>
      </c>
    </row>
    <row r="46" spans="1:8">
      <c r="A46" s="46" t="s">
        <v>189</v>
      </c>
      <c r="B46" s="72"/>
      <c r="C46" s="72">
        <f>C64</f>
        <v>0</v>
      </c>
      <c r="D46" s="72">
        <f>D64</f>
        <v>0</v>
      </c>
      <c r="E46" s="72">
        <f t="shared" ref="E46:H47" si="30">E64</f>
        <v>0</v>
      </c>
      <c r="F46" s="72">
        <f t="shared" si="30"/>
        <v>0</v>
      </c>
      <c r="G46" s="72">
        <f t="shared" si="30"/>
        <v>0</v>
      </c>
      <c r="H46" s="72">
        <f t="shared" si="30"/>
        <v>0</v>
      </c>
    </row>
    <row r="47" spans="1:8">
      <c r="A47" s="82" t="s">
        <v>190</v>
      </c>
      <c r="B47" s="72"/>
      <c r="C47" s="72">
        <f>C65</f>
        <v>7.666666666666667</v>
      </c>
      <c r="D47" s="72">
        <f>D65</f>
        <v>10.416666666666666</v>
      </c>
      <c r="E47" s="72">
        <f t="shared" si="30"/>
        <v>10.625</v>
      </c>
      <c r="F47" s="72">
        <f t="shared" si="30"/>
        <v>12.920000000000002</v>
      </c>
      <c r="G47" s="72">
        <f t="shared" si="30"/>
        <v>13.178400000000002</v>
      </c>
      <c r="H47" s="72">
        <f t="shared" si="30"/>
        <v>13.441968000000001</v>
      </c>
    </row>
    <row r="48" spans="1:8">
      <c r="A48" s="82" t="s">
        <v>191</v>
      </c>
      <c r="B48" s="72"/>
      <c r="C48" s="72"/>
      <c r="D48" s="72"/>
      <c r="E48" s="72"/>
      <c r="F48" s="72"/>
      <c r="G48" s="72"/>
      <c r="H48" s="72"/>
    </row>
    <row r="49" spans="1:8">
      <c r="A49" s="82" t="s">
        <v>192</v>
      </c>
      <c r="B49" s="72">
        <f>+SUM(B43:B48)</f>
        <v>60</v>
      </c>
      <c r="C49" s="72">
        <f>+SUM(C43:C48)</f>
        <v>284.37930303030305</v>
      </c>
      <c r="D49" s="72">
        <f>+SUM(D43:D48)</f>
        <v>547.54684666666651</v>
      </c>
      <c r="E49" s="72">
        <f t="shared" ref="E49:H49" si="31">+SUM(E43:E48)</f>
        <v>874.6821599636362</v>
      </c>
      <c r="F49" s="72">
        <f t="shared" si="31"/>
        <v>1277.6109670719998</v>
      </c>
      <c r="G49" s="72">
        <f t="shared" si="31"/>
        <v>1792.3450001270758</v>
      </c>
      <c r="H49" s="72">
        <f t="shared" si="31"/>
        <v>2441.2662366712079</v>
      </c>
    </row>
    <row r="50" spans="1:8">
      <c r="B50" s="88"/>
      <c r="C50" s="88"/>
      <c r="D50" s="88"/>
      <c r="E50" s="88"/>
      <c r="F50" s="88"/>
      <c r="G50" s="88"/>
      <c r="H50" s="88"/>
    </row>
    <row r="51" spans="1:8">
      <c r="A51" s="46" t="s">
        <v>181</v>
      </c>
      <c r="B51" s="72">
        <f>-B37</f>
        <v>7</v>
      </c>
      <c r="C51" s="72">
        <f>B51-C37-C22</f>
        <v>5.6</v>
      </c>
      <c r="D51" s="72">
        <f>C51-D37-D22</f>
        <v>4.4799999999999995</v>
      </c>
      <c r="E51" s="72">
        <f t="shared" ref="E51:H52" si="32">D51-E37-E22</f>
        <v>3.5839999999999996</v>
      </c>
      <c r="F51" s="72">
        <f t="shared" si="32"/>
        <v>2.8671999999999995</v>
      </c>
      <c r="G51" s="72">
        <f t="shared" si="32"/>
        <v>2.2937599999999998</v>
      </c>
      <c r="H51" s="72">
        <f t="shared" si="32"/>
        <v>1.8350079999999998</v>
      </c>
    </row>
    <row r="52" spans="1:8">
      <c r="A52" s="46" t="s">
        <v>182</v>
      </c>
      <c r="B52" s="72"/>
      <c r="C52" s="72">
        <f>B52-C38-C23</f>
        <v>30</v>
      </c>
      <c r="D52" s="72">
        <f>C52-D38-D23</f>
        <v>24</v>
      </c>
      <c r="E52" s="72">
        <f t="shared" si="32"/>
        <v>19.2</v>
      </c>
      <c r="F52" s="72">
        <f t="shared" si="32"/>
        <v>15.36</v>
      </c>
      <c r="G52" s="72">
        <f t="shared" si="32"/>
        <v>12.288</v>
      </c>
      <c r="H52" s="72">
        <f t="shared" si="32"/>
        <v>9.8304000000000009</v>
      </c>
    </row>
    <row r="53" spans="1:8">
      <c r="A53" s="46" t="s">
        <v>193</v>
      </c>
      <c r="B53" s="72">
        <f>-B39</f>
        <v>8</v>
      </c>
      <c r="C53" s="72">
        <f>B53-C39</f>
        <v>8</v>
      </c>
      <c r="D53" s="72">
        <f>C53-D39</f>
        <v>8</v>
      </c>
      <c r="E53" s="72">
        <f t="shared" ref="E53:H53" si="33">D53-E39</f>
        <v>8</v>
      </c>
      <c r="F53" s="72">
        <f t="shared" si="33"/>
        <v>8</v>
      </c>
      <c r="G53" s="72">
        <f t="shared" si="33"/>
        <v>8</v>
      </c>
      <c r="H53" s="72">
        <f t="shared" si="33"/>
        <v>8</v>
      </c>
    </row>
    <row r="54" spans="1:8">
      <c r="A54" s="46" t="s">
        <v>194</v>
      </c>
      <c r="B54" s="72"/>
      <c r="C54" s="72">
        <f>C62</f>
        <v>0</v>
      </c>
      <c r="D54" s="72">
        <f>D62</f>
        <v>0</v>
      </c>
      <c r="E54" s="72">
        <f t="shared" ref="E54:H55" si="34">E62</f>
        <v>0</v>
      </c>
      <c r="F54" s="72">
        <f t="shared" si="34"/>
        <v>0</v>
      </c>
      <c r="G54" s="72">
        <f t="shared" si="34"/>
        <v>0</v>
      </c>
      <c r="H54" s="72">
        <f t="shared" si="34"/>
        <v>0</v>
      </c>
    </row>
    <row r="55" spans="1:8">
      <c r="A55" s="46" t="s">
        <v>195</v>
      </c>
      <c r="B55" s="72"/>
      <c r="C55" s="72">
        <f>C63</f>
        <v>8.2641892901618927</v>
      </c>
      <c r="D55" s="72">
        <f>D63</f>
        <v>9.8170819427148182</v>
      </c>
      <c r="E55" s="72">
        <f t="shared" si="34"/>
        <v>11.677890112079698</v>
      </c>
      <c r="F55" s="72">
        <f t="shared" si="34"/>
        <v>13.743413887920294</v>
      </c>
      <c r="G55" s="72">
        <f t="shared" si="34"/>
        <v>16.333589076463259</v>
      </c>
      <c r="H55" s="72">
        <f t="shared" si="34"/>
        <v>19.371995767098376</v>
      </c>
    </row>
    <row r="56" spans="1:8">
      <c r="A56" s="46" t="s">
        <v>196</v>
      </c>
      <c r="B56" s="72"/>
      <c r="C56" s="72"/>
      <c r="D56" s="72"/>
      <c r="E56" s="72"/>
      <c r="F56" s="72"/>
      <c r="G56" s="72"/>
      <c r="H56" s="72"/>
    </row>
    <row r="57" spans="1:8">
      <c r="A57" s="46" t="s">
        <v>197</v>
      </c>
      <c r="B57" s="72">
        <f>B40</f>
        <v>45</v>
      </c>
      <c r="C57" s="72">
        <f>C40</f>
        <v>232.51511374014115</v>
      </c>
      <c r="D57" s="72">
        <f>D40</f>
        <v>501.24976472395178</v>
      </c>
      <c r="E57" s="72">
        <f t="shared" ref="E57:H57" si="35">E40</f>
        <v>832.22026985155662</v>
      </c>
      <c r="F57" s="72">
        <f t="shared" si="35"/>
        <v>1237.6403531840795</v>
      </c>
      <c r="G57" s="72">
        <f t="shared" si="35"/>
        <v>1753.4296510506124</v>
      </c>
      <c r="H57" s="72">
        <f t="shared" si="35"/>
        <v>2402.2288329041094</v>
      </c>
    </row>
    <row r="58" spans="1:8">
      <c r="A58" s="82" t="s">
        <v>198</v>
      </c>
      <c r="B58" s="72">
        <f>SUM(B51:B57)</f>
        <v>60</v>
      </c>
      <c r="C58" s="72">
        <f>SUM(C51:C57)</f>
        <v>284.37930303030305</v>
      </c>
      <c r="D58" s="72">
        <f>SUM(D51:D57)</f>
        <v>547.54684666666662</v>
      </c>
      <c r="E58" s="72">
        <f t="shared" ref="E58:H58" si="36">SUM(E51:E57)</f>
        <v>874.68215996363631</v>
      </c>
      <c r="F58" s="72">
        <f t="shared" si="36"/>
        <v>1277.6109670719998</v>
      </c>
      <c r="G58" s="72">
        <f t="shared" si="36"/>
        <v>1792.3450001270758</v>
      </c>
      <c r="H58" s="72">
        <f t="shared" si="36"/>
        <v>2441.2662366712079</v>
      </c>
    </row>
    <row r="59" spans="1:8">
      <c r="A59" s="85" t="s">
        <v>199</v>
      </c>
      <c r="B59" s="79">
        <f>B58-B49</f>
        <v>0</v>
      </c>
      <c r="C59" s="79">
        <f t="shared" ref="C59:H59" si="37">C58-C49</f>
        <v>0</v>
      </c>
      <c r="D59" s="79">
        <f t="shared" si="37"/>
        <v>0</v>
      </c>
      <c r="E59" s="79">
        <f t="shared" si="37"/>
        <v>0</v>
      </c>
      <c r="F59" s="79">
        <f t="shared" si="37"/>
        <v>0</v>
      </c>
      <c r="G59" s="79">
        <f t="shared" si="37"/>
        <v>0</v>
      </c>
      <c r="H59" s="79">
        <f t="shared" si="37"/>
        <v>0</v>
      </c>
    </row>
    <row r="61" spans="1:8">
      <c r="A61" s="67" t="s">
        <v>200</v>
      </c>
      <c r="B61" s="46"/>
      <c r="C61" s="87">
        <f>+C42</f>
        <v>2015</v>
      </c>
      <c r="D61" s="87">
        <f t="shared" ref="D61:H61" si="38">+D42</f>
        <v>2016</v>
      </c>
      <c r="E61" s="87">
        <f t="shared" si="38"/>
        <v>2017</v>
      </c>
      <c r="F61" s="87">
        <f t="shared" si="38"/>
        <v>2018</v>
      </c>
      <c r="G61" s="87">
        <f t="shared" si="38"/>
        <v>2019</v>
      </c>
      <c r="H61" s="87">
        <f t="shared" si="38"/>
        <v>2020</v>
      </c>
    </row>
    <row r="62" spans="1:8">
      <c r="A62" s="46" t="s">
        <v>194</v>
      </c>
      <c r="B62" s="46"/>
      <c r="C62" s="72"/>
      <c r="D62" s="72"/>
      <c r="E62" s="72"/>
      <c r="F62" s="72"/>
      <c r="G62" s="72"/>
      <c r="H62" s="72"/>
    </row>
    <row r="63" spans="1:8">
      <c r="A63" s="46" t="s">
        <v>201</v>
      </c>
      <c r="B63" s="46"/>
      <c r="C63" s="72">
        <f>C10*(1+C71)/365*C69</f>
        <v>8.2641892901618927</v>
      </c>
      <c r="D63" s="72">
        <f t="shared" ref="D63:H63" si="39">D10*(1+D71)/365*D69</f>
        <v>9.8170819427148182</v>
      </c>
      <c r="E63" s="72">
        <f t="shared" si="39"/>
        <v>11.677890112079698</v>
      </c>
      <c r="F63" s="72">
        <f t="shared" si="39"/>
        <v>13.743413887920294</v>
      </c>
      <c r="G63" s="72">
        <f t="shared" si="39"/>
        <v>16.333589076463259</v>
      </c>
      <c r="H63" s="72">
        <f t="shared" si="39"/>
        <v>19.371995767098376</v>
      </c>
    </row>
    <row r="64" spans="1:8">
      <c r="A64" s="46" t="s">
        <v>202</v>
      </c>
      <c r="B64" s="46"/>
      <c r="C64" s="72"/>
      <c r="D64" s="72"/>
      <c r="E64" s="72"/>
      <c r="F64" s="72"/>
      <c r="G64" s="72"/>
      <c r="H64" s="72"/>
    </row>
    <row r="65" spans="1:8">
      <c r="A65" s="46" t="s">
        <v>190</v>
      </c>
      <c r="B65" s="46"/>
      <c r="C65" s="72">
        <f>(C18+C17)/12</f>
        <v>7.666666666666667</v>
      </c>
      <c r="D65" s="72">
        <f>(D18+D17)/12</f>
        <v>10.416666666666666</v>
      </c>
      <c r="E65" s="72">
        <f t="shared" ref="E65:H65" si="40">(E18+E17)/12</f>
        <v>10.625</v>
      </c>
      <c r="F65" s="72">
        <f t="shared" si="40"/>
        <v>12.920000000000002</v>
      </c>
      <c r="G65" s="72">
        <f t="shared" si="40"/>
        <v>13.178400000000002</v>
      </c>
      <c r="H65" s="72">
        <f t="shared" si="40"/>
        <v>13.441968000000001</v>
      </c>
    </row>
    <row r="66" spans="1:8">
      <c r="A66" s="46" t="s">
        <v>200</v>
      </c>
      <c r="B66" s="46"/>
      <c r="C66" s="72">
        <f>C62+C63-C64-C65</f>
        <v>0.59752262349522578</v>
      </c>
      <c r="D66" s="72">
        <f t="shared" ref="D66:H66" si="41">D62+D63-D64-D65</f>
        <v>-0.59958472395184792</v>
      </c>
      <c r="E66" s="72">
        <f t="shared" si="41"/>
        <v>1.0528901120796981</v>
      </c>
      <c r="F66" s="72">
        <f t="shared" si="41"/>
        <v>0.82341388792029235</v>
      </c>
      <c r="G66" s="72">
        <f t="shared" si="41"/>
        <v>3.1551890764632571</v>
      </c>
      <c r="H66" s="72">
        <f t="shared" si="41"/>
        <v>5.930027767098375</v>
      </c>
    </row>
    <row r="67" spans="1:8">
      <c r="A67" s="46" t="s">
        <v>203</v>
      </c>
      <c r="B67" s="46"/>
      <c r="C67" s="72">
        <f>B66-C66</f>
        <v>-0.59752262349522578</v>
      </c>
      <c r="D67" s="72">
        <f t="shared" ref="D67:H67" si="42">C66-D66</f>
        <v>1.1971073474470737</v>
      </c>
      <c r="E67" s="72">
        <f t="shared" si="42"/>
        <v>-1.652474836031546</v>
      </c>
      <c r="F67" s="72">
        <f t="shared" si="42"/>
        <v>0.22947622415940572</v>
      </c>
      <c r="G67" s="72">
        <f t="shared" si="42"/>
        <v>-2.3317751885429647</v>
      </c>
      <c r="H67" s="72">
        <f t="shared" si="42"/>
        <v>-2.7748386906351179</v>
      </c>
    </row>
    <row r="68" spans="1:8">
      <c r="A68" s="82" t="s">
        <v>204</v>
      </c>
      <c r="B68" s="46"/>
      <c r="C68" s="76"/>
      <c r="D68" s="76"/>
      <c r="E68" s="76"/>
      <c r="F68" s="76"/>
      <c r="G68" s="76"/>
      <c r="H68" s="76"/>
    </row>
    <row r="69" spans="1:8">
      <c r="A69" s="82" t="s">
        <v>205</v>
      </c>
      <c r="B69" s="46"/>
      <c r="C69" s="76">
        <v>5</v>
      </c>
      <c r="D69" s="76">
        <v>5</v>
      </c>
      <c r="E69" s="76">
        <v>5</v>
      </c>
      <c r="F69" s="76">
        <v>5</v>
      </c>
      <c r="G69" s="76">
        <v>5</v>
      </c>
      <c r="H69" s="76">
        <v>5</v>
      </c>
    </row>
    <row r="70" spans="1:8">
      <c r="A70" s="82" t="s">
        <v>206</v>
      </c>
      <c r="B70" s="46"/>
      <c r="C70" s="76"/>
      <c r="D70" s="76"/>
      <c r="E70" s="76"/>
      <c r="F70" s="76"/>
      <c r="G70" s="76"/>
      <c r="H70" s="76"/>
    </row>
    <row r="71" spans="1:8">
      <c r="A71" s="82" t="s">
        <v>207</v>
      </c>
      <c r="B71" s="46"/>
      <c r="C71" s="71">
        <v>0.2</v>
      </c>
      <c r="D71" s="71">
        <v>0.2</v>
      </c>
      <c r="E71" s="71">
        <v>0.2</v>
      </c>
      <c r="F71" s="71">
        <v>0.2</v>
      </c>
      <c r="G71" s="71">
        <v>0.2</v>
      </c>
      <c r="H71" s="71">
        <v>0.2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3"/>
  <sheetViews>
    <sheetView topLeftCell="A2" zoomScale="70" zoomScaleNormal="70" workbookViewId="0">
      <selection activeCell="A4" sqref="A4:XFD4"/>
    </sheetView>
  </sheetViews>
  <sheetFormatPr baseColWidth="10" defaultRowHeight="15"/>
  <cols>
    <col min="1" max="1" width="28.85546875" customWidth="1"/>
    <col min="2" max="2" width="12" customWidth="1"/>
    <col min="3" max="3" width="76.140625" customWidth="1"/>
    <col min="4" max="4" width="34.7109375" customWidth="1"/>
    <col min="5" max="5" width="15.140625" customWidth="1"/>
    <col min="6" max="6" width="12.42578125" customWidth="1"/>
    <col min="7" max="7" width="53.140625" customWidth="1"/>
    <col min="10" max="10" width="9.42578125" customWidth="1"/>
    <col min="11" max="11" width="13.28515625" customWidth="1"/>
    <col min="12" max="12" width="14.42578125" customWidth="1"/>
  </cols>
  <sheetData>
    <row r="1" spans="1:14">
      <c r="A1" s="119" t="s">
        <v>208</v>
      </c>
      <c r="B1" s="120"/>
      <c r="C1" s="120"/>
      <c r="D1" s="120"/>
      <c r="E1" s="121"/>
      <c r="F1" s="119" t="s">
        <v>209</v>
      </c>
      <c r="G1" s="120"/>
      <c r="H1" s="120"/>
      <c r="I1" s="120"/>
      <c r="J1" s="121"/>
      <c r="K1" s="119" t="s">
        <v>210</v>
      </c>
      <c r="L1" s="120"/>
      <c r="M1" s="120"/>
      <c r="N1" s="121"/>
    </row>
    <row r="2" spans="1:14">
      <c r="A2" s="89" t="s">
        <v>211</v>
      </c>
      <c r="B2" s="89" t="s">
        <v>212</v>
      </c>
      <c r="C2" s="89"/>
      <c r="D2" s="122" t="s">
        <v>213</v>
      </c>
      <c r="E2" s="123"/>
      <c r="F2" s="89" t="s">
        <v>214</v>
      </c>
      <c r="G2" s="89"/>
      <c r="H2" s="89" t="s">
        <v>215</v>
      </c>
      <c r="I2" s="89" t="s">
        <v>216</v>
      </c>
      <c r="J2" s="89"/>
      <c r="K2" s="89" t="s">
        <v>217</v>
      </c>
      <c r="L2" s="89" t="s">
        <v>218</v>
      </c>
      <c r="M2" s="122" t="s">
        <v>219</v>
      </c>
      <c r="N2" s="123"/>
    </row>
    <row r="3" spans="1:14" ht="38.25" customHeight="1">
      <c r="A3" s="46" t="s">
        <v>220</v>
      </c>
      <c r="B3" s="117" t="s">
        <v>221</v>
      </c>
      <c r="C3" s="118"/>
      <c r="D3" s="117" t="s">
        <v>222</v>
      </c>
      <c r="E3" s="118"/>
      <c r="F3" s="117" t="s">
        <v>223</v>
      </c>
      <c r="G3" s="118"/>
      <c r="H3" s="46" t="s">
        <v>224</v>
      </c>
      <c r="I3" s="117" t="s">
        <v>225</v>
      </c>
      <c r="J3" s="118"/>
      <c r="K3" s="46" t="s">
        <v>226</v>
      </c>
      <c r="L3" s="46" t="s">
        <v>227</v>
      </c>
      <c r="M3" s="117" t="s">
        <v>228</v>
      </c>
      <c r="N3" s="118"/>
    </row>
    <row r="4" spans="1:14" ht="25.5" customHeight="1">
      <c r="A4" s="46" t="s">
        <v>229</v>
      </c>
      <c r="B4" s="117" t="s">
        <v>230</v>
      </c>
      <c r="C4" s="118"/>
      <c r="D4" s="117" t="s">
        <v>231</v>
      </c>
      <c r="E4" s="118"/>
      <c r="F4" s="117" t="s">
        <v>232</v>
      </c>
      <c r="G4" s="118"/>
      <c r="H4" s="46" t="s">
        <v>233</v>
      </c>
      <c r="I4" s="117" t="s">
        <v>225</v>
      </c>
      <c r="J4" s="118"/>
      <c r="K4" s="46" t="s">
        <v>226</v>
      </c>
      <c r="L4" s="46" t="s">
        <v>234</v>
      </c>
      <c r="M4" s="117" t="s">
        <v>228</v>
      </c>
      <c r="N4" s="118"/>
    </row>
    <row r="5" spans="1:14" ht="24" customHeight="1">
      <c r="A5" s="46" t="s">
        <v>67</v>
      </c>
      <c r="B5" s="117" t="s">
        <v>235</v>
      </c>
      <c r="C5" s="118"/>
      <c r="D5" s="117" t="s">
        <v>236</v>
      </c>
      <c r="E5" s="118"/>
      <c r="F5" s="117" t="s">
        <v>237</v>
      </c>
      <c r="G5" s="118"/>
      <c r="H5" s="46" t="s">
        <v>233</v>
      </c>
      <c r="I5" s="117" t="s">
        <v>225</v>
      </c>
      <c r="J5" s="118"/>
      <c r="K5" s="46" t="s">
        <v>226</v>
      </c>
      <c r="L5" s="46" t="s">
        <v>234</v>
      </c>
      <c r="M5" s="117" t="s">
        <v>228</v>
      </c>
      <c r="N5" s="118"/>
    </row>
    <row r="6" spans="1:14" ht="27" customHeight="1">
      <c r="A6" s="46" t="s">
        <v>68</v>
      </c>
      <c r="B6" s="117" t="s">
        <v>238</v>
      </c>
      <c r="C6" s="118"/>
      <c r="D6" s="117" t="s">
        <v>239</v>
      </c>
      <c r="E6" s="118"/>
      <c r="F6" s="117" t="s">
        <v>240</v>
      </c>
      <c r="G6" s="118"/>
      <c r="H6" s="46" t="s">
        <v>241</v>
      </c>
      <c r="I6" s="117" t="s">
        <v>225</v>
      </c>
      <c r="J6" s="118"/>
      <c r="K6" s="46" t="s">
        <v>226</v>
      </c>
      <c r="L6" s="46" t="s">
        <v>242</v>
      </c>
      <c r="M6" s="117" t="s">
        <v>228</v>
      </c>
      <c r="N6" s="118"/>
    </row>
    <row r="7" spans="1:14" ht="24" customHeight="1">
      <c r="A7" s="46" t="s">
        <v>243</v>
      </c>
      <c r="B7" s="117" t="s">
        <v>244</v>
      </c>
      <c r="C7" s="118"/>
      <c r="D7" s="117" t="s">
        <v>245</v>
      </c>
      <c r="E7" s="118"/>
      <c r="F7" s="117" t="s">
        <v>246</v>
      </c>
      <c r="G7" s="118"/>
      <c r="H7" s="46" t="s">
        <v>233</v>
      </c>
      <c r="I7" s="117" t="s">
        <v>225</v>
      </c>
      <c r="J7" s="118"/>
      <c r="K7" s="46" t="s">
        <v>226</v>
      </c>
      <c r="L7" s="46" t="s">
        <v>234</v>
      </c>
      <c r="M7" s="117" t="s">
        <v>228</v>
      </c>
      <c r="N7" s="118"/>
    </row>
    <row r="8" spans="1:14" ht="31.5" customHeight="1">
      <c r="A8" s="46" t="s">
        <v>247</v>
      </c>
      <c r="B8" s="117"/>
      <c r="C8" s="118"/>
      <c r="D8" s="117"/>
      <c r="E8" s="118"/>
      <c r="F8" s="117" t="s">
        <v>248</v>
      </c>
      <c r="G8" s="118"/>
      <c r="H8" s="46" t="s">
        <v>241</v>
      </c>
      <c r="I8" s="117" t="s">
        <v>225</v>
      </c>
      <c r="J8" s="118"/>
      <c r="K8" s="46" t="s">
        <v>226</v>
      </c>
      <c r="L8" s="46" t="s">
        <v>227</v>
      </c>
      <c r="M8" s="117" t="s">
        <v>228</v>
      </c>
      <c r="N8" s="118"/>
    </row>
    <row r="9" spans="1:14" ht="35.25" customHeight="1">
      <c r="A9" s="46" t="s">
        <v>249</v>
      </c>
      <c r="B9" s="117" t="s">
        <v>250</v>
      </c>
      <c r="C9" s="118"/>
      <c r="D9" s="117" t="s">
        <v>251</v>
      </c>
      <c r="E9" s="118"/>
      <c r="F9" s="117" t="s">
        <v>252</v>
      </c>
      <c r="G9" s="118"/>
      <c r="H9" s="46" t="s">
        <v>224</v>
      </c>
      <c r="I9" s="117" t="s">
        <v>225</v>
      </c>
      <c r="J9" s="118"/>
      <c r="K9" s="46" t="s">
        <v>226</v>
      </c>
      <c r="L9" s="46" t="s">
        <v>227</v>
      </c>
      <c r="M9" s="117" t="s">
        <v>228</v>
      </c>
      <c r="N9" s="118"/>
    </row>
    <row r="11" spans="1:14">
      <c r="C11" s="90" t="s">
        <v>253</v>
      </c>
    </row>
    <row r="12" spans="1:14" ht="57" customHeight="1">
      <c r="C12" s="91" t="s">
        <v>263</v>
      </c>
      <c r="D12" s="124" t="s">
        <v>266</v>
      </c>
      <c r="E12" s="124"/>
      <c r="F12" s="124" t="s">
        <v>265</v>
      </c>
      <c r="G12" s="124"/>
    </row>
    <row r="13" spans="1:14" ht="60" customHeight="1">
      <c r="C13" s="89"/>
      <c r="D13" s="124" t="s">
        <v>264</v>
      </c>
      <c r="E13" s="124"/>
      <c r="F13" s="124"/>
      <c r="G13" s="124"/>
    </row>
  </sheetData>
  <mergeCells count="44">
    <mergeCell ref="D12:E12"/>
    <mergeCell ref="F12:G12"/>
    <mergeCell ref="D13:E13"/>
    <mergeCell ref="F13:G13"/>
    <mergeCell ref="B8:C8"/>
    <mergeCell ref="D8:E8"/>
    <mergeCell ref="F8:G8"/>
    <mergeCell ref="I8:J8"/>
    <mergeCell ref="M8:N8"/>
    <mergeCell ref="B9:C9"/>
    <mergeCell ref="D9:E9"/>
    <mergeCell ref="F9:G9"/>
    <mergeCell ref="I9:J9"/>
    <mergeCell ref="M9:N9"/>
    <mergeCell ref="B6:C6"/>
    <mergeCell ref="D6:E6"/>
    <mergeCell ref="F6:G6"/>
    <mergeCell ref="I6:J6"/>
    <mergeCell ref="M6:N6"/>
    <mergeCell ref="B7:C7"/>
    <mergeCell ref="D7:E7"/>
    <mergeCell ref="F7:G7"/>
    <mergeCell ref="I7:J7"/>
    <mergeCell ref="M7:N7"/>
    <mergeCell ref="B4:C4"/>
    <mergeCell ref="D4:E4"/>
    <mergeCell ref="F4:G4"/>
    <mergeCell ref="I4:J4"/>
    <mergeCell ref="M4:N4"/>
    <mergeCell ref="B5:C5"/>
    <mergeCell ref="D5:E5"/>
    <mergeCell ref="F5:G5"/>
    <mergeCell ref="I5:J5"/>
    <mergeCell ref="M5:N5"/>
    <mergeCell ref="A1:E1"/>
    <mergeCell ref="F1:J1"/>
    <mergeCell ref="K1:N1"/>
    <mergeCell ref="D2:E2"/>
    <mergeCell ref="M2:N2"/>
    <mergeCell ref="B3:C3"/>
    <mergeCell ref="D3:E3"/>
    <mergeCell ref="F3:G3"/>
    <mergeCell ref="I3:J3"/>
    <mergeCell ref="M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"/>
  <sheetViews>
    <sheetView showGridLines="0" topLeftCell="A79" zoomScale="85" zoomScaleNormal="85" workbookViewId="0">
      <selection sqref="A1:D1"/>
    </sheetView>
  </sheetViews>
  <sheetFormatPr baseColWidth="10" defaultRowHeight="15"/>
  <cols>
    <col min="1" max="3" width="11.42578125" style="95"/>
    <col min="4" max="4" width="15.42578125" style="95" customWidth="1"/>
    <col min="5" max="16384" width="11.42578125" style="95"/>
  </cols>
  <sheetData>
    <row r="1" spans="1:4" ht="18.75">
      <c r="A1" s="125" t="s">
        <v>268</v>
      </c>
      <c r="B1" s="125"/>
      <c r="C1" s="125"/>
      <c r="D1" s="125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E11" sqref="E11"/>
    </sheetView>
  </sheetViews>
  <sheetFormatPr baseColWidth="10" defaultRowHeight="15"/>
  <cols>
    <col min="1" max="1" width="25.7109375" customWidth="1"/>
    <col min="2" max="7" width="11.5703125" customWidth="1"/>
  </cols>
  <sheetData>
    <row r="1" spans="1:5">
      <c r="A1" t="s">
        <v>273</v>
      </c>
      <c r="B1" t="s">
        <v>269</v>
      </c>
      <c r="C1" t="s">
        <v>270</v>
      </c>
      <c r="D1" t="s">
        <v>271</v>
      </c>
      <c r="E1" t="s">
        <v>272</v>
      </c>
    </row>
    <row r="2" spans="1:5">
      <c r="A2" s="126" t="s">
        <v>274</v>
      </c>
      <c r="B2" s="127">
        <f t="shared" ref="B2" si="0">(4*1200)</f>
        <v>4800</v>
      </c>
      <c r="C2" s="128">
        <f t="shared" ref="C2" si="1">(3*1200)</f>
        <v>3600</v>
      </c>
      <c r="D2" s="129">
        <f t="shared" ref="D2" si="2">(4*1000)</f>
        <v>4000</v>
      </c>
      <c r="E2" s="130">
        <f t="shared" ref="E2" si="3">(3*1000)</f>
        <v>3000</v>
      </c>
    </row>
    <row r="3" spans="1:5">
      <c r="A3" s="126" t="s">
        <v>275</v>
      </c>
      <c r="B3" s="127">
        <f>(B2*10)</f>
        <v>48000</v>
      </c>
      <c r="C3" s="128">
        <f>(C2*10)</f>
        <v>36000</v>
      </c>
      <c r="D3" s="129">
        <f>(D2*10)</f>
        <v>40000</v>
      </c>
      <c r="E3" s="130">
        <f>(E2*10)</f>
        <v>30000</v>
      </c>
    </row>
    <row r="4" spans="1:5">
      <c r="A4" s="126" t="s">
        <v>277</v>
      </c>
      <c r="B4" s="127">
        <f>(450*70)*10</f>
        <v>315000</v>
      </c>
      <c r="C4" s="128">
        <f>(450*72)*10</f>
        <v>324000</v>
      </c>
      <c r="D4" s="129">
        <f>(450*72)*10</f>
        <v>324000</v>
      </c>
      <c r="E4" s="130">
        <f>(450*74)*10</f>
        <v>333000</v>
      </c>
    </row>
    <row r="5" spans="1:5">
      <c r="A5" s="126" t="s">
        <v>276</v>
      </c>
      <c r="B5" s="127">
        <f>(B4+B3)</f>
        <v>363000</v>
      </c>
      <c r="C5" s="128">
        <f>(C4+C3)</f>
        <v>360000</v>
      </c>
      <c r="D5" s="129">
        <f>(D4+D3)</f>
        <v>364000</v>
      </c>
      <c r="E5" s="130">
        <f>(E4+E3)</f>
        <v>363000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93"/>
  <sheetViews>
    <sheetView workbookViewId="0">
      <selection activeCell="I24" sqref="I24"/>
    </sheetView>
  </sheetViews>
  <sheetFormatPr baseColWidth="10" defaultRowHeight="15"/>
  <sheetData>
    <row r="1" spans="1:16">
      <c r="J1" s="23">
        <v>-0.15</v>
      </c>
      <c r="K1" s="24" t="s">
        <v>49</v>
      </c>
      <c r="L1" s="24" t="s">
        <v>50</v>
      </c>
    </row>
    <row r="2" spans="1:16">
      <c r="B2" s="98" t="s">
        <v>51</v>
      </c>
      <c r="C2" s="98"/>
      <c r="D2" s="98"/>
      <c r="E2" s="98"/>
      <c r="F2" s="98"/>
      <c r="G2" s="98"/>
      <c r="H2" s="98"/>
      <c r="I2">
        <f>94*0.75</f>
        <v>70.5</v>
      </c>
      <c r="J2" s="23">
        <v>-0.25</v>
      </c>
      <c r="K2" s="24" t="s">
        <v>52</v>
      </c>
      <c r="L2" s="24" t="s">
        <v>53</v>
      </c>
    </row>
    <row r="3" spans="1:16">
      <c r="B3" s="25" t="s">
        <v>54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60</v>
      </c>
      <c r="J3" s="24"/>
    </row>
    <row r="4" spans="1:16">
      <c r="A4" s="99">
        <v>0.375</v>
      </c>
    </row>
    <row r="5" spans="1:16">
      <c r="A5" s="99"/>
      <c r="B5" s="100"/>
      <c r="C5" s="100">
        <v>11</v>
      </c>
      <c r="D5" s="100"/>
      <c r="E5" s="100"/>
      <c r="F5" s="100"/>
      <c r="G5" s="101"/>
      <c r="H5" s="102"/>
      <c r="J5" s="96">
        <v>15</v>
      </c>
      <c r="K5" s="96">
        <f>+J5*(1+$J$1)</f>
        <v>12.75</v>
      </c>
      <c r="L5" s="96">
        <f>J5*(1+$J$2)</f>
        <v>11.25</v>
      </c>
      <c r="N5" s="97">
        <f>J5/$J$5</f>
        <v>1</v>
      </c>
      <c r="O5" s="97">
        <f t="shared" ref="O5:P5" si="0">K5/$J$5</f>
        <v>0.85</v>
      </c>
      <c r="P5" s="97">
        <f t="shared" si="0"/>
        <v>0.75</v>
      </c>
    </row>
    <row r="6" spans="1:16">
      <c r="A6" s="99">
        <v>0.41666666666666669</v>
      </c>
      <c r="B6" s="100"/>
      <c r="C6" s="100"/>
      <c r="D6" s="100"/>
      <c r="E6" s="100"/>
      <c r="F6" s="100"/>
      <c r="G6" s="101"/>
      <c r="H6" s="102"/>
      <c r="J6" s="96"/>
      <c r="K6" s="96"/>
      <c r="L6" s="96"/>
      <c r="N6" s="97"/>
      <c r="O6" s="97"/>
      <c r="P6" s="97"/>
    </row>
    <row r="7" spans="1:16">
      <c r="A7" s="99"/>
      <c r="B7" s="100"/>
      <c r="C7" s="100">
        <v>11</v>
      </c>
      <c r="D7" s="100"/>
      <c r="E7" s="100"/>
      <c r="F7" s="100"/>
      <c r="G7" s="101"/>
      <c r="H7" s="102"/>
      <c r="J7" s="105">
        <v>13</v>
      </c>
      <c r="K7" s="105">
        <f t="shared" ref="K7" si="1">+J7*(1+$J$1)</f>
        <v>11.049999999999999</v>
      </c>
      <c r="L7" s="105">
        <f t="shared" ref="L7" si="2">J7*(1+$J$2)</f>
        <v>9.75</v>
      </c>
      <c r="N7" s="103">
        <f t="shared" ref="N7:P7" si="3">J7/$J$5</f>
        <v>0.8666666666666667</v>
      </c>
      <c r="O7" s="103">
        <f t="shared" si="3"/>
        <v>0.73666666666666658</v>
      </c>
      <c r="P7" s="103">
        <f t="shared" si="3"/>
        <v>0.65</v>
      </c>
    </row>
    <row r="8" spans="1:16">
      <c r="A8" s="99">
        <v>0.45833333333333298</v>
      </c>
      <c r="B8" s="100"/>
      <c r="C8" s="100"/>
      <c r="D8" s="100"/>
      <c r="E8" s="100"/>
      <c r="F8" s="100"/>
      <c r="G8" s="101"/>
      <c r="H8" s="102"/>
      <c r="J8" s="105"/>
      <c r="K8" s="105"/>
      <c r="L8" s="105"/>
      <c r="N8" s="103"/>
      <c r="O8" s="103"/>
      <c r="P8" s="103"/>
    </row>
    <row r="9" spans="1:16">
      <c r="A9" s="99"/>
      <c r="B9" s="100"/>
      <c r="C9" s="100">
        <v>11</v>
      </c>
      <c r="D9" s="100"/>
      <c r="E9" s="100"/>
      <c r="F9" s="100"/>
      <c r="G9" s="101"/>
      <c r="H9" s="102"/>
      <c r="J9" s="104">
        <v>11</v>
      </c>
      <c r="K9" s="104">
        <f t="shared" ref="K9" si="4">+J9*(1+$J$1)</f>
        <v>9.35</v>
      </c>
      <c r="L9" s="104">
        <f t="shared" ref="L9" si="5">J9*(1+$J$2)</f>
        <v>8.25</v>
      </c>
      <c r="N9" s="106">
        <f t="shared" ref="N9:P9" si="6">J9/$J$5</f>
        <v>0.73333333333333328</v>
      </c>
      <c r="O9" s="106">
        <f t="shared" si="6"/>
        <v>0.62333333333333329</v>
      </c>
      <c r="P9" s="106">
        <f t="shared" si="6"/>
        <v>0.55000000000000004</v>
      </c>
    </row>
    <row r="10" spans="1:16">
      <c r="A10" s="99">
        <v>0.5</v>
      </c>
      <c r="B10" s="100"/>
      <c r="C10" s="100"/>
      <c r="D10" s="100"/>
      <c r="E10" s="100"/>
      <c r="F10" s="100"/>
      <c r="G10" s="101"/>
      <c r="H10" s="102"/>
      <c r="J10" s="104"/>
      <c r="K10" s="104"/>
      <c r="L10" s="104"/>
      <c r="N10" s="106"/>
      <c r="O10" s="106"/>
      <c r="P10" s="106"/>
    </row>
    <row r="11" spans="1:16">
      <c r="A11" s="99"/>
      <c r="B11" s="107"/>
      <c r="C11" s="107">
        <v>13</v>
      </c>
      <c r="D11" s="107"/>
      <c r="E11" s="107"/>
      <c r="F11" s="107"/>
      <c r="G11" s="101"/>
      <c r="H11" s="102"/>
      <c r="L11" s="26"/>
    </row>
    <row r="12" spans="1:16">
      <c r="A12" s="99">
        <v>0.54166666666666696</v>
      </c>
      <c r="B12" s="107"/>
      <c r="C12" s="107"/>
      <c r="D12" s="107"/>
      <c r="E12" s="107"/>
      <c r="F12" s="107"/>
      <c r="G12" s="101"/>
      <c r="H12" s="102"/>
    </row>
    <row r="13" spans="1:16">
      <c r="A13" s="99"/>
      <c r="B13" s="107"/>
      <c r="C13" s="107">
        <v>13</v>
      </c>
      <c r="D13" s="107"/>
      <c r="E13" s="107"/>
      <c r="F13" s="107"/>
      <c r="G13" s="101"/>
      <c r="H13" s="102"/>
    </row>
    <row r="14" spans="1:16">
      <c r="A14" s="99">
        <v>0.58333333333333304</v>
      </c>
      <c r="B14" s="107"/>
      <c r="C14" s="107"/>
      <c r="D14" s="107"/>
      <c r="E14" s="107"/>
      <c r="F14" s="107"/>
      <c r="G14" s="101"/>
      <c r="H14" s="102"/>
    </row>
    <row r="15" spans="1:16">
      <c r="A15" s="99"/>
      <c r="B15" s="100"/>
      <c r="C15" s="100">
        <v>11</v>
      </c>
      <c r="D15" s="107"/>
      <c r="E15" s="100"/>
      <c r="F15" s="107"/>
      <c r="G15" s="101"/>
      <c r="H15" s="102"/>
    </row>
    <row r="16" spans="1:16">
      <c r="A16" s="99">
        <v>0.625</v>
      </c>
      <c r="B16" s="100"/>
      <c r="C16" s="100"/>
      <c r="D16" s="107"/>
      <c r="E16" s="100"/>
      <c r="F16" s="107"/>
      <c r="G16" s="101"/>
      <c r="H16" s="102"/>
    </row>
    <row r="17" spans="1:8">
      <c r="A17" s="99"/>
      <c r="B17" s="100"/>
      <c r="C17" s="100">
        <v>11</v>
      </c>
      <c r="D17" s="107"/>
      <c r="E17" s="100"/>
      <c r="F17" s="107"/>
      <c r="G17" s="101"/>
      <c r="H17" s="102"/>
    </row>
    <row r="18" spans="1:8">
      <c r="A18" s="99">
        <v>0.66666666666666696</v>
      </c>
      <c r="B18" s="100"/>
      <c r="C18" s="100"/>
      <c r="D18" s="107"/>
      <c r="E18" s="100"/>
      <c r="F18" s="107"/>
      <c r="G18" s="101"/>
      <c r="H18" s="102"/>
    </row>
    <row r="19" spans="1:8">
      <c r="A19" s="99"/>
      <c r="B19" s="107"/>
      <c r="C19" s="107">
        <v>13</v>
      </c>
      <c r="D19" s="107"/>
      <c r="E19" s="107"/>
      <c r="F19" s="107"/>
      <c r="G19" s="101"/>
      <c r="H19" s="102"/>
    </row>
    <row r="20" spans="1:8">
      <c r="A20" s="99">
        <v>0.70833333333333304</v>
      </c>
      <c r="B20" s="107"/>
      <c r="C20" s="107"/>
      <c r="D20" s="107"/>
      <c r="E20" s="107"/>
      <c r="F20" s="107"/>
      <c r="G20" s="101"/>
      <c r="H20" s="102"/>
    </row>
    <row r="21" spans="1:8">
      <c r="A21" s="99"/>
      <c r="B21" s="108"/>
      <c r="C21" s="108"/>
      <c r="D21" s="108"/>
      <c r="E21" s="108"/>
      <c r="F21" s="108"/>
      <c r="G21" s="101"/>
      <c r="H21" s="102"/>
    </row>
    <row r="22" spans="1:8">
      <c r="A22" s="99">
        <v>0.75</v>
      </c>
      <c r="B22" s="108"/>
      <c r="C22" s="108"/>
      <c r="D22" s="108"/>
      <c r="E22" s="108"/>
      <c r="F22" s="108"/>
      <c r="G22" s="101"/>
      <c r="H22" s="102"/>
    </row>
    <row r="23" spans="1:8">
      <c r="A23" s="99"/>
      <c r="B23" s="101"/>
      <c r="C23" s="101"/>
      <c r="D23" s="101"/>
      <c r="E23" s="101"/>
      <c r="F23" s="101"/>
      <c r="G23" s="101"/>
      <c r="H23" s="102"/>
    </row>
    <row r="24" spans="1:8">
      <c r="A24" s="99">
        <v>0.79166666666666696</v>
      </c>
      <c r="B24" s="101"/>
      <c r="C24" s="101"/>
      <c r="D24" s="101"/>
      <c r="E24" s="101"/>
      <c r="F24" s="101"/>
      <c r="G24" s="101"/>
      <c r="H24" s="102"/>
    </row>
    <row r="25" spans="1:8">
      <c r="A25" s="99"/>
      <c r="B25" s="101"/>
      <c r="C25" s="101"/>
      <c r="D25" s="101"/>
      <c r="E25" s="101"/>
      <c r="F25" s="101"/>
      <c r="G25" s="101"/>
      <c r="H25" s="102"/>
    </row>
    <row r="26" spans="1:8">
      <c r="A26" s="99">
        <v>0.83333333333333404</v>
      </c>
      <c r="B26" s="101"/>
      <c r="C26" s="101"/>
      <c r="D26" s="101"/>
      <c r="E26" s="101"/>
      <c r="F26" s="101"/>
      <c r="G26" s="101"/>
      <c r="H26" s="102"/>
    </row>
    <row r="27" spans="1:8">
      <c r="A27" s="99"/>
      <c r="B27" s="102"/>
      <c r="C27" s="102"/>
      <c r="D27" s="102"/>
      <c r="E27" s="102"/>
      <c r="F27" s="102"/>
      <c r="G27" s="102"/>
      <c r="H27" s="102"/>
    </row>
    <row r="28" spans="1:8">
      <c r="A28" s="99">
        <v>0.875</v>
      </c>
      <c r="B28" s="102"/>
      <c r="C28" s="102"/>
      <c r="D28" s="102"/>
      <c r="E28" s="102"/>
      <c r="F28" s="102"/>
      <c r="G28" s="102"/>
      <c r="H28" s="102"/>
    </row>
    <row r="29" spans="1:8">
      <c r="A29" s="99"/>
      <c r="B29" s="102"/>
      <c r="C29" s="102"/>
      <c r="D29" s="102"/>
      <c r="E29" s="102"/>
      <c r="F29" s="102"/>
      <c r="G29" s="102"/>
      <c r="H29" s="102"/>
    </row>
    <row r="30" spans="1:8">
      <c r="A30" s="99">
        <v>0.91666666666666696</v>
      </c>
      <c r="B30" s="102"/>
      <c r="C30" s="102"/>
      <c r="D30" s="102"/>
      <c r="E30" s="102"/>
      <c r="F30" s="102"/>
      <c r="G30" s="102"/>
      <c r="H30" s="102"/>
    </row>
    <row r="31" spans="1:8">
      <c r="A31" s="99"/>
    </row>
    <row r="33" spans="1:16">
      <c r="B33" s="98" t="s">
        <v>61</v>
      </c>
      <c r="C33" s="98"/>
      <c r="D33" s="98"/>
      <c r="E33" s="98"/>
      <c r="F33" s="98"/>
      <c r="G33" s="98"/>
      <c r="H33" s="98"/>
    </row>
    <row r="34" spans="1:16">
      <c r="B34" s="25" t="s">
        <v>54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60</v>
      </c>
    </row>
    <row r="35" spans="1:16">
      <c r="A35" s="99">
        <v>0.375</v>
      </c>
    </row>
    <row r="36" spans="1:16">
      <c r="A36" s="99"/>
      <c r="B36" s="100"/>
      <c r="C36" s="100"/>
      <c r="D36" s="100"/>
      <c r="E36" s="100"/>
      <c r="F36" s="100"/>
      <c r="G36" s="101"/>
      <c r="H36" s="101"/>
      <c r="J36" s="110">
        <v>20</v>
      </c>
      <c r="K36" s="96">
        <f>+J36*(1+$J$1)</f>
        <v>17</v>
      </c>
      <c r="L36" s="96">
        <f>J36*(1+$J$2)</f>
        <v>15</v>
      </c>
      <c r="N36" s="97">
        <f>J36/$J$36</f>
        <v>1</v>
      </c>
      <c r="O36" s="97">
        <f t="shared" ref="O36:P36" si="7">K36/$J$36</f>
        <v>0.85</v>
      </c>
      <c r="P36" s="97">
        <f t="shared" si="7"/>
        <v>0.75</v>
      </c>
    </row>
    <row r="37" spans="1:16">
      <c r="A37" s="99">
        <v>0.41666666666666669</v>
      </c>
      <c r="B37" s="100"/>
      <c r="C37" s="100"/>
      <c r="D37" s="100"/>
      <c r="E37" s="100"/>
      <c r="F37" s="100"/>
      <c r="G37" s="101"/>
      <c r="H37" s="101"/>
      <c r="J37" s="111"/>
      <c r="K37" s="96"/>
      <c r="L37" s="96"/>
      <c r="N37" s="97"/>
      <c r="O37" s="97"/>
      <c r="P37" s="97"/>
    </row>
    <row r="38" spans="1:16">
      <c r="A38" s="99"/>
      <c r="B38" s="100"/>
      <c r="C38" s="100"/>
      <c r="D38" s="100"/>
      <c r="E38" s="100"/>
      <c r="F38" s="100"/>
      <c r="G38" s="101"/>
      <c r="H38" s="101"/>
      <c r="J38" s="109">
        <v>17</v>
      </c>
      <c r="K38" s="105">
        <f t="shared" ref="K38" si="8">+J38*(1+$J$1)</f>
        <v>14.45</v>
      </c>
      <c r="L38" s="105">
        <f t="shared" ref="L38" si="9">J38*(1+$J$2)</f>
        <v>12.75</v>
      </c>
      <c r="N38" s="103">
        <f t="shared" ref="N38:P38" si="10">J38/$J$36</f>
        <v>0.85</v>
      </c>
      <c r="O38" s="103">
        <f t="shared" si="10"/>
        <v>0.72249999999999992</v>
      </c>
      <c r="P38" s="103">
        <f t="shared" si="10"/>
        <v>0.63749999999999996</v>
      </c>
    </row>
    <row r="39" spans="1:16">
      <c r="A39" s="99">
        <v>0.45833333333333298</v>
      </c>
      <c r="B39" s="100"/>
      <c r="C39" s="100"/>
      <c r="D39" s="100"/>
      <c r="E39" s="100"/>
      <c r="F39" s="100"/>
      <c r="G39" s="101"/>
      <c r="H39" s="101"/>
      <c r="J39" s="107"/>
      <c r="K39" s="105"/>
      <c r="L39" s="105"/>
      <c r="N39" s="103"/>
      <c r="O39" s="103"/>
      <c r="P39" s="103"/>
    </row>
    <row r="40" spans="1:16">
      <c r="A40" s="99"/>
      <c r="B40" s="100"/>
      <c r="C40" s="100"/>
      <c r="D40" s="100"/>
      <c r="E40" s="100"/>
      <c r="F40" s="100"/>
      <c r="G40" s="101"/>
      <c r="H40" s="101"/>
      <c r="J40" s="112">
        <v>13</v>
      </c>
      <c r="K40" s="104">
        <f t="shared" ref="K40" si="11">+J40*(1+$J$1)</f>
        <v>11.049999999999999</v>
      </c>
      <c r="L40" s="104">
        <f t="shared" ref="L40" si="12">J40*(1+$J$2)</f>
        <v>9.75</v>
      </c>
      <c r="N40" s="106">
        <f t="shared" ref="N40:P40" si="13">J40/$J$36</f>
        <v>0.65</v>
      </c>
      <c r="O40" s="106">
        <f t="shared" si="13"/>
        <v>0.55249999999999999</v>
      </c>
      <c r="P40" s="106">
        <f t="shared" si="13"/>
        <v>0.48749999999999999</v>
      </c>
    </row>
    <row r="41" spans="1:16">
      <c r="A41" s="99">
        <v>0.5</v>
      </c>
      <c r="B41" s="100"/>
      <c r="C41" s="100"/>
      <c r="D41" s="100"/>
      <c r="E41" s="100"/>
      <c r="F41" s="100"/>
      <c r="G41" s="101"/>
      <c r="H41" s="101"/>
      <c r="J41" s="100"/>
      <c r="K41" s="104"/>
      <c r="L41" s="104"/>
      <c r="N41" s="106"/>
      <c r="O41" s="106"/>
      <c r="P41" s="106"/>
    </row>
    <row r="42" spans="1:16">
      <c r="A42" s="99"/>
      <c r="B42" s="107"/>
      <c r="C42" s="107"/>
      <c r="D42" s="107"/>
      <c r="E42" s="107"/>
      <c r="F42" s="107"/>
      <c r="G42" s="101"/>
      <c r="H42" s="101"/>
    </row>
    <row r="43" spans="1:16">
      <c r="A43" s="99">
        <v>0.54166666666666696</v>
      </c>
      <c r="B43" s="107"/>
      <c r="C43" s="107"/>
      <c r="D43" s="107"/>
      <c r="E43" s="107"/>
      <c r="F43" s="107"/>
      <c r="G43" s="101"/>
      <c r="H43" s="101"/>
    </row>
    <row r="44" spans="1:16">
      <c r="A44" s="99"/>
      <c r="B44" s="107"/>
      <c r="C44" s="107"/>
      <c r="D44" s="107"/>
      <c r="E44" s="107"/>
      <c r="F44" s="107"/>
      <c r="G44" s="101"/>
      <c r="H44" s="101"/>
    </row>
    <row r="45" spans="1:16">
      <c r="A45" s="99">
        <v>0.58333333333333304</v>
      </c>
      <c r="B45" s="107"/>
      <c r="C45" s="107"/>
      <c r="D45" s="107"/>
      <c r="E45" s="107"/>
      <c r="F45" s="107"/>
      <c r="G45" s="101"/>
      <c r="H45" s="101"/>
    </row>
    <row r="46" spans="1:16">
      <c r="A46" s="99"/>
      <c r="B46" s="100"/>
      <c r="C46" s="100"/>
      <c r="D46" s="113"/>
      <c r="E46" s="100"/>
      <c r="F46" s="107"/>
      <c r="G46" s="101"/>
      <c r="H46" s="101"/>
    </row>
    <row r="47" spans="1:16">
      <c r="A47" s="99">
        <v>0.625</v>
      </c>
      <c r="B47" s="100"/>
      <c r="C47" s="100"/>
      <c r="D47" s="113"/>
      <c r="E47" s="100"/>
      <c r="F47" s="107"/>
      <c r="G47" s="101"/>
      <c r="H47" s="101"/>
    </row>
    <row r="48" spans="1:16">
      <c r="A48" s="99"/>
      <c r="B48" s="100"/>
      <c r="C48" s="100"/>
      <c r="D48" s="113"/>
      <c r="E48" s="100"/>
      <c r="F48" s="107"/>
      <c r="G48" s="101"/>
      <c r="H48" s="101"/>
    </row>
    <row r="49" spans="1:8">
      <c r="A49" s="99">
        <v>0.66666666666666696</v>
      </c>
      <c r="B49" s="100"/>
      <c r="C49" s="100"/>
      <c r="D49" s="113"/>
      <c r="E49" s="100"/>
      <c r="F49" s="107"/>
      <c r="G49" s="101"/>
      <c r="H49" s="101"/>
    </row>
    <row r="50" spans="1:8">
      <c r="A50" s="99"/>
      <c r="B50" s="107"/>
      <c r="C50" s="107"/>
      <c r="D50" s="107"/>
      <c r="E50" s="107"/>
      <c r="F50" s="107"/>
      <c r="G50" s="101"/>
      <c r="H50" s="101"/>
    </row>
    <row r="51" spans="1:8">
      <c r="A51" s="99">
        <v>0.70833333333333304</v>
      </c>
      <c r="B51" s="107"/>
      <c r="C51" s="107"/>
      <c r="D51" s="107"/>
      <c r="E51" s="107"/>
      <c r="F51" s="107"/>
      <c r="G51" s="101"/>
      <c r="H51" s="101"/>
    </row>
    <row r="52" spans="1:8">
      <c r="A52" s="99"/>
      <c r="B52" s="101"/>
      <c r="C52" s="101"/>
      <c r="D52" s="101"/>
      <c r="E52" s="101"/>
      <c r="F52" s="101"/>
      <c r="G52" s="101"/>
      <c r="H52" s="101"/>
    </row>
    <row r="53" spans="1:8">
      <c r="A53" s="99">
        <v>0.75</v>
      </c>
      <c r="B53" s="101"/>
      <c r="C53" s="101"/>
      <c r="D53" s="101"/>
      <c r="E53" s="101"/>
      <c r="F53" s="101"/>
      <c r="G53" s="101"/>
      <c r="H53" s="101"/>
    </row>
    <row r="54" spans="1:8">
      <c r="A54" s="99"/>
      <c r="B54" s="101"/>
      <c r="C54" s="101"/>
      <c r="D54" s="101"/>
      <c r="E54" s="101"/>
      <c r="F54" s="101"/>
      <c r="G54" s="101"/>
      <c r="H54" s="101"/>
    </row>
    <row r="55" spans="1:8">
      <c r="A55" s="99">
        <v>0.79166666666666696</v>
      </c>
      <c r="B55" s="101"/>
      <c r="C55" s="101"/>
      <c r="D55" s="101"/>
      <c r="E55" s="101"/>
      <c r="F55" s="101"/>
      <c r="G55" s="101"/>
      <c r="H55" s="101"/>
    </row>
    <row r="56" spans="1:8">
      <c r="A56" s="99"/>
      <c r="B56" s="101"/>
      <c r="C56" s="101"/>
      <c r="D56" s="101"/>
      <c r="E56" s="101"/>
      <c r="F56" s="101"/>
      <c r="G56" s="101"/>
      <c r="H56" s="101"/>
    </row>
    <row r="57" spans="1:8">
      <c r="A57" s="99">
        <v>0.83333333333333404</v>
      </c>
      <c r="B57" s="101"/>
      <c r="C57" s="101"/>
      <c r="D57" s="101"/>
      <c r="E57" s="101"/>
      <c r="F57" s="101"/>
      <c r="G57" s="101"/>
      <c r="H57" s="101"/>
    </row>
    <row r="58" spans="1:8">
      <c r="A58" s="99"/>
      <c r="B58" s="101"/>
      <c r="C58" s="101"/>
      <c r="D58" s="101"/>
      <c r="E58" s="101"/>
      <c r="F58" s="101"/>
      <c r="G58" s="101"/>
      <c r="H58" s="101"/>
    </row>
    <row r="59" spans="1:8">
      <c r="A59" s="99">
        <v>0.875</v>
      </c>
      <c r="B59" s="101"/>
      <c r="C59" s="101"/>
      <c r="D59" s="101"/>
      <c r="E59" s="101"/>
      <c r="F59" s="101"/>
      <c r="G59" s="101"/>
      <c r="H59" s="101"/>
    </row>
    <row r="60" spans="1:8">
      <c r="A60" s="99"/>
      <c r="B60" s="101"/>
      <c r="C60" s="101"/>
      <c r="D60" s="101"/>
      <c r="E60" s="101"/>
      <c r="F60" s="101"/>
      <c r="G60" s="101"/>
      <c r="H60" s="101"/>
    </row>
    <row r="61" spans="1:8">
      <c r="A61" s="99">
        <v>0.91666666666666696</v>
      </c>
      <c r="B61" s="101"/>
      <c r="C61" s="101"/>
      <c r="D61" s="101"/>
      <c r="E61" s="101"/>
      <c r="F61" s="101"/>
      <c r="G61" s="101"/>
      <c r="H61" s="101"/>
    </row>
    <row r="62" spans="1:8">
      <c r="A62" s="99"/>
    </row>
    <row r="64" spans="1:8">
      <c r="B64" s="98" t="s">
        <v>62</v>
      </c>
      <c r="C64" s="98"/>
      <c r="D64" s="98"/>
      <c r="E64" s="98"/>
      <c r="F64" s="98"/>
      <c r="G64" s="98"/>
      <c r="H64" s="98"/>
    </row>
    <row r="65" spans="1:16">
      <c r="B65" s="25" t="s">
        <v>54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60</v>
      </c>
    </row>
    <row r="66" spans="1:16">
      <c r="A66" s="99">
        <v>0.375</v>
      </c>
    </row>
    <row r="67" spans="1:16">
      <c r="A67" s="99"/>
      <c r="B67" s="102"/>
      <c r="C67" s="102"/>
      <c r="D67" s="102"/>
      <c r="E67" s="102"/>
      <c r="F67" s="102"/>
      <c r="G67" s="101"/>
      <c r="H67" s="101"/>
      <c r="J67" s="110">
        <v>35</v>
      </c>
      <c r="K67" s="96">
        <f>+J67*(1+$J$1)</f>
        <v>29.75</v>
      </c>
      <c r="L67" s="96">
        <f>J67*(1+$J$2)</f>
        <v>26.25</v>
      </c>
      <c r="M67" s="27"/>
      <c r="N67" s="97">
        <f>J67/$J$67</f>
        <v>1</v>
      </c>
      <c r="O67" s="97">
        <f t="shared" ref="O67:P67" si="14">K67/$J$67</f>
        <v>0.85</v>
      </c>
      <c r="P67" s="97">
        <f t="shared" si="14"/>
        <v>0.75</v>
      </c>
    </row>
    <row r="68" spans="1:16">
      <c r="A68" s="99">
        <v>0.41666666666666669</v>
      </c>
      <c r="B68" s="102"/>
      <c r="C68" s="102"/>
      <c r="D68" s="102"/>
      <c r="E68" s="102"/>
      <c r="F68" s="102"/>
      <c r="G68" s="101"/>
      <c r="H68" s="101"/>
      <c r="J68" s="111"/>
      <c r="K68" s="96"/>
      <c r="L68" s="96"/>
      <c r="M68" s="27"/>
      <c r="N68" s="97"/>
      <c r="O68" s="97"/>
      <c r="P68" s="97"/>
    </row>
    <row r="69" spans="1:16">
      <c r="A69" s="99"/>
      <c r="B69" s="102"/>
      <c r="C69" s="102"/>
      <c r="D69" s="102"/>
      <c r="E69" s="102"/>
      <c r="F69" s="102"/>
      <c r="G69" s="101"/>
      <c r="H69" s="101"/>
    </row>
    <row r="70" spans="1:16">
      <c r="A70" s="99">
        <v>0.45833333333333298</v>
      </c>
      <c r="B70" s="102"/>
      <c r="C70" s="102"/>
      <c r="D70" s="102"/>
      <c r="E70" s="102"/>
      <c r="F70" s="102"/>
      <c r="G70" s="101"/>
      <c r="H70" s="101"/>
    </row>
    <row r="71" spans="1:16">
      <c r="A71" s="99"/>
      <c r="B71" s="102"/>
      <c r="C71" s="102"/>
      <c r="D71" s="102"/>
      <c r="E71" s="102"/>
      <c r="F71" s="102"/>
      <c r="G71" s="101"/>
      <c r="H71" s="101"/>
    </row>
    <row r="72" spans="1:16">
      <c r="A72" s="99">
        <v>0.5</v>
      </c>
      <c r="B72" s="102"/>
      <c r="C72" s="102"/>
      <c r="D72" s="102"/>
      <c r="E72" s="102"/>
      <c r="F72" s="102"/>
      <c r="G72" s="101"/>
      <c r="H72" s="101"/>
    </row>
    <row r="73" spans="1:16">
      <c r="A73" s="99"/>
      <c r="B73" s="102"/>
      <c r="C73" s="102"/>
      <c r="D73" s="102"/>
      <c r="E73" s="102"/>
      <c r="F73" s="102"/>
      <c r="G73" s="101"/>
      <c r="H73" s="101"/>
    </row>
    <row r="74" spans="1:16">
      <c r="A74" s="99">
        <v>0.54166666666666696</v>
      </c>
      <c r="B74" s="102"/>
      <c r="C74" s="102"/>
      <c r="D74" s="102"/>
      <c r="E74" s="102"/>
      <c r="F74" s="102"/>
      <c r="G74" s="101"/>
      <c r="H74" s="101"/>
    </row>
    <row r="75" spans="1:16">
      <c r="A75" s="99"/>
      <c r="B75" s="102"/>
      <c r="C75" s="102"/>
      <c r="D75" s="102"/>
      <c r="E75" s="102"/>
      <c r="F75" s="102"/>
      <c r="G75" s="101"/>
      <c r="H75" s="101"/>
    </row>
    <row r="76" spans="1:16">
      <c r="A76" s="99">
        <v>0.58333333333333304</v>
      </c>
      <c r="B76" s="102"/>
      <c r="C76" s="102"/>
      <c r="D76" s="102"/>
      <c r="E76" s="102"/>
      <c r="F76" s="102"/>
      <c r="G76" s="101"/>
      <c r="H76" s="101"/>
    </row>
    <row r="77" spans="1:16">
      <c r="A77" s="99"/>
      <c r="B77" s="102"/>
      <c r="C77" s="102"/>
      <c r="D77" s="114"/>
      <c r="E77" s="102"/>
      <c r="F77" s="102"/>
      <c r="G77" s="101"/>
      <c r="H77" s="101"/>
    </row>
    <row r="78" spans="1:16">
      <c r="A78" s="99">
        <v>0.625</v>
      </c>
      <c r="B78" s="102"/>
      <c r="C78" s="102"/>
      <c r="D78" s="114"/>
      <c r="E78" s="102"/>
      <c r="F78" s="102"/>
      <c r="G78" s="101"/>
      <c r="H78" s="101"/>
    </row>
    <row r="79" spans="1:16">
      <c r="A79" s="99"/>
      <c r="B79" s="102"/>
      <c r="C79" s="102"/>
      <c r="D79" s="114"/>
      <c r="E79" s="102"/>
      <c r="F79" s="102"/>
      <c r="G79" s="101"/>
      <c r="H79" s="101"/>
    </row>
    <row r="80" spans="1:16">
      <c r="A80" s="99">
        <v>0.66666666666666696</v>
      </c>
      <c r="B80" s="102"/>
      <c r="C80" s="102"/>
      <c r="D80" s="114"/>
      <c r="E80" s="102"/>
      <c r="F80" s="102"/>
      <c r="G80" s="101"/>
      <c r="H80" s="101"/>
    </row>
    <row r="81" spans="1:8">
      <c r="A81" s="99"/>
      <c r="B81" s="102"/>
      <c r="C81" s="102"/>
      <c r="D81" s="102"/>
      <c r="E81" s="102"/>
      <c r="F81" s="102"/>
      <c r="G81" s="101"/>
      <c r="H81" s="101"/>
    </row>
    <row r="82" spans="1:8">
      <c r="A82" s="99">
        <v>0.70833333333333304</v>
      </c>
      <c r="B82" s="102"/>
      <c r="C82" s="102"/>
      <c r="D82" s="102"/>
      <c r="E82" s="102"/>
      <c r="F82" s="102"/>
      <c r="G82" s="101"/>
      <c r="H82" s="101"/>
    </row>
    <row r="83" spans="1:8">
      <c r="A83" s="99"/>
      <c r="B83" s="102"/>
      <c r="C83" s="102"/>
      <c r="D83" s="102"/>
      <c r="E83" s="102"/>
      <c r="F83" s="102"/>
      <c r="G83" s="101"/>
      <c r="H83" s="101"/>
    </row>
    <row r="84" spans="1:8">
      <c r="A84" s="99">
        <v>0.75</v>
      </c>
      <c r="B84" s="102"/>
      <c r="C84" s="102"/>
      <c r="D84" s="102"/>
      <c r="E84" s="102"/>
      <c r="F84" s="102"/>
      <c r="G84" s="101"/>
      <c r="H84" s="101"/>
    </row>
    <row r="85" spans="1:8">
      <c r="A85" s="99"/>
      <c r="B85" s="102"/>
      <c r="C85" s="102"/>
      <c r="D85" s="102"/>
      <c r="E85" s="102"/>
      <c r="F85" s="102"/>
      <c r="G85" s="101"/>
      <c r="H85" s="101"/>
    </row>
    <row r="86" spans="1:8">
      <c r="A86" s="99">
        <v>0.79166666666666696</v>
      </c>
      <c r="B86" s="102"/>
      <c r="C86" s="102"/>
      <c r="D86" s="102"/>
      <c r="E86" s="102"/>
      <c r="F86" s="102"/>
      <c r="G86" s="101"/>
      <c r="H86" s="101"/>
    </row>
    <row r="87" spans="1:8">
      <c r="A87" s="99"/>
      <c r="B87" s="102"/>
      <c r="C87" s="102"/>
      <c r="D87" s="102"/>
      <c r="E87" s="102"/>
      <c r="F87" s="102"/>
      <c r="G87" s="101"/>
      <c r="H87" s="101"/>
    </row>
    <row r="88" spans="1:8">
      <c r="A88" s="99">
        <v>0.83333333333333404</v>
      </c>
      <c r="B88" s="102"/>
      <c r="C88" s="102"/>
      <c r="D88" s="102"/>
      <c r="E88" s="102"/>
      <c r="F88" s="102"/>
      <c r="G88" s="101"/>
      <c r="H88" s="101"/>
    </row>
    <row r="89" spans="1:8">
      <c r="A89" s="99"/>
      <c r="B89" s="101"/>
      <c r="C89" s="101"/>
      <c r="D89" s="101"/>
      <c r="E89" s="101"/>
      <c r="F89" s="101"/>
      <c r="G89" s="101"/>
      <c r="H89" s="101"/>
    </row>
    <row r="90" spans="1:8">
      <c r="A90" s="99">
        <v>0.875</v>
      </c>
      <c r="B90" s="101"/>
      <c r="C90" s="101"/>
      <c r="D90" s="101"/>
      <c r="E90" s="101"/>
      <c r="F90" s="101"/>
      <c r="G90" s="101"/>
      <c r="H90" s="101"/>
    </row>
    <row r="91" spans="1:8">
      <c r="A91" s="99"/>
      <c r="B91" s="101"/>
      <c r="C91" s="101"/>
      <c r="D91" s="101"/>
      <c r="E91" s="101"/>
      <c r="F91" s="101"/>
      <c r="G91" s="101"/>
      <c r="H91" s="101"/>
    </row>
    <row r="92" spans="1:8">
      <c r="A92" s="99">
        <v>0.91666666666666696</v>
      </c>
      <c r="B92" s="101"/>
      <c r="C92" s="101"/>
      <c r="D92" s="101"/>
      <c r="E92" s="101"/>
      <c r="F92" s="101"/>
      <c r="G92" s="101"/>
      <c r="H92" s="101"/>
    </row>
    <row r="93" spans="1:8">
      <c r="A93" s="99"/>
    </row>
  </sheetData>
  <mergeCells count="360">
    <mergeCell ref="H89:H90"/>
    <mergeCell ref="A90:A91"/>
    <mergeCell ref="B91:B92"/>
    <mergeCell ref="C91:C92"/>
    <mergeCell ref="D91:D92"/>
    <mergeCell ref="E91:E92"/>
    <mergeCell ref="F91:F92"/>
    <mergeCell ref="G91:G92"/>
    <mergeCell ref="H91:H92"/>
    <mergeCell ref="A92:A93"/>
    <mergeCell ref="B89:B90"/>
    <mergeCell ref="C89:C90"/>
    <mergeCell ref="D89:D90"/>
    <mergeCell ref="E89:E90"/>
    <mergeCell ref="F89:F90"/>
    <mergeCell ref="G89:G90"/>
    <mergeCell ref="H83:H84"/>
    <mergeCell ref="A84:A85"/>
    <mergeCell ref="B81:B82"/>
    <mergeCell ref="C81:C82"/>
    <mergeCell ref="D81:D82"/>
    <mergeCell ref="E81:E82"/>
    <mergeCell ref="F81:F82"/>
    <mergeCell ref="G81:G82"/>
    <mergeCell ref="H85:H86"/>
    <mergeCell ref="A86:A87"/>
    <mergeCell ref="B87:B88"/>
    <mergeCell ref="C87:C88"/>
    <mergeCell ref="D87:D88"/>
    <mergeCell ref="E87:E88"/>
    <mergeCell ref="F87:F88"/>
    <mergeCell ref="G87:G88"/>
    <mergeCell ref="H87:H88"/>
    <mergeCell ref="A88:A89"/>
    <mergeCell ref="B85:B86"/>
    <mergeCell ref="C85:C86"/>
    <mergeCell ref="D85:D86"/>
    <mergeCell ref="E85:E86"/>
    <mergeCell ref="F85:F86"/>
    <mergeCell ref="G85:G86"/>
    <mergeCell ref="H77:H78"/>
    <mergeCell ref="A78:A79"/>
    <mergeCell ref="B79:B80"/>
    <mergeCell ref="C79:C80"/>
    <mergeCell ref="D79:D80"/>
    <mergeCell ref="E79:E80"/>
    <mergeCell ref="F79:F80"/>
    <mergeCell ref="G79:G80"/>
    <mergeCell ref="H79:H80"/>
    <mergeCell ref="A80:A81"/>
    <mergeCell ref="B77:B78"/>
    <mergeCell ref="C77:C78"/>
    <mergeCell ref="D77:D78"/>
    <mergeCell ref="E77:E78"/>
    <mergeCell ref="F77:F78"/>
    <mergeCell ref="G77:G78"/>
    <mergeCell ref="H81:H82"/>
    <mergeCell ref="A82:A83"/>
    <mergeCell ref="B83:B84"/>
    <mergeCell ref="C83:C84"/>
    <mergeCell ref="D83:D84"/>
    <mergeCell ref="E83:E84"/>
    <mergeCell ref="F83:F84"/>
    <mergeCell ref="G83:G84"/>
    <mergeCell ref="H71:H72"/>
    <mergeCell ref="A72:A73"/>
    <mergeCell ref="B69:B70"/>
    <mergeCell ref="C69:C70"/>
    <mergeCell ref="D69:D70"/>
    <mergeCell ref="E69:E70"/>
    <mergeCell ref="F69:F70"/>
    <mergeCell ref="G69:G70"/>
    <mergeCell ref="H73:H74"/>
    <mergeCell ref="A74:A75"/>
    <mergeCell ref="B75:B76"/>
    <mergeCell ref="C75:C76"/>
    <mergeCell ref="D75:D76"/>
    <mergeCell ref="E75:E76"/>
    <mergeCell ref="F75:F76"/>
    <mergeCell ref="G75:G76"/>
    <mergeCell ref="H75:H76"/>
    <mergeCell ref="A76:A77"/>
    <mergeCell ref="B73:B74"/>
    <mergeCell ref="C73:C74"/>
    <mergeCell ref="D73:D74"/>
    <mergeCell ref="E73:E74"/>
    <mergeCell ref="F73:F74"/>
    <mergeCell ref="G73:G74"/>
    <mergeCell ref="J67:J68"/>
    <mergeCell ref="K67:K68"/>
    <mergeCell ref="L67:L68"/>
    <mergeCell ref="N67:N68"/>
    <mergeCell ref="O67:O68"/>
    <mergeCell ref="P67:P68"/>
    <mergeCell ref="B64:H64"/>
    <mergeCell ref="A66:A67"/>
    <mergeCell ref="B67:B68"/>
    <mergeCell ref="C67:C68"/>
    <mergeCell ref="D67:D68"/>
    <mergeCell ref="E67:E68"/>
    <mergeCell ref="F67:F68"/>
    <mergeCell ref="G67:G68"/>
    <mergeCell ref="H67:H68"/>
    <mergeCell ref="A68:A69"/>
    <mergeCell ref="H69:H70"/>
    <mergeCell ref="A70:A71"/>
    <mergeCell ref="B71:B72"/>
    <mergeCell ref="C71:C72"/>
    <mergeCell ref="D71:D72"/>
    <mergeCell ref="E71:E72"/>
    <mergeCell ref="F71:F72"/>
    <mergeCell ref="G71:G72"/>
    <mergeCell ref="D54:D55"/>
    <mergeCell ref="E54:E55"/>
    <mergeCell ref="F54:F55"/>
    <mergeCell ref="G54:G55"/>
    <mergeCell ref="H58:H59"/>
    <mergeCell ref="A59:A60"/>
    <mergeCell ref="B60:B61"/>
    <mergeCell ref="C60:C61"/>
    <mergeCell ref="D60:D61"/>
    <mergeCell ref="E60:E61"/>
    <mergeCell ref="F60:F61"/>
    <mergeCell ref="G60:G61"/>
    <mergeCell ref="H60:H61"/>
    <mergeCell ref="A61:A62"/>
    <mergeCell ref="B58:B59"/>
    <mergeCell ref="C58:C59"/>
    <mergeCell ref="D58:D59"/>
    <mergeCell ref="E58:E59"/>
    <mergeCell ref="F58:F59"/>
    <mergeCell ref="G58:G59"/>
    <mergeCell ref="D52:D53"/>
    <mergeCell ref="E52:E53"/>
    <mergeCell ref="F52:F53"/>
    <mergeCell ref="G52:G53"/>
    <mergeCell ref="H52:H53"/>
    <mergeCell ref="A53:A54"/>
    <mergeCell ref="B50:B51"/>
    <mergeCell ref="C50:C51"/>
    <mergeCell ref="D50:D51"/>
    <mergeCell ref="E50:E51"/>
    <mergeCell ref="F50:F51"/>
    <mergeCell ref="G50:G51"/>
    <mergeCell ref="H54:H55"/>
    <mergeCell ref="A55:A56"/>
    <mergeCell ref="B56:B57"/>
    <mergeCell ref="C56:C57"/>
    <mergeCell ref="D56:D57"/>
    <mergeCell ref="E56:E57"/>
    <mergeCell ref="F56:F57"/>
    <mergeCell ref="G56:G57"/>
    <mergeCell ref="H56:H57"/>
    <mergeCell ref="A57:A58"/>
    <mergeCell ref="B54:B55"/>
    <mergeCell ref="C54:C55"/>
    <mergeCell ref="F44:F45"/>
    <mergeCell ref="G44:G45"/>
    <mergeCell ref="H44:H45"/>
    <mergeCell ref="A45:A46"/>
    <mergeCell ref="H46:H47"/>
    <mergeCell ref="A47:A48"/>
    <mergeCell ref="B48:B49"/>
    <mergeCell ref="C48:C49"/>
    <mergeCell ref="D48:D49"/>
    <mergeCell ref="E48:E49"/>
    <mergeCell ref="F48:F49"/>
    <mergeCell ref="G48:G49"/>
    <mergeCell ref="H48:H49"/>
    <mergeCell ref="A49:A50"/>
    <mergeCell ref="B46:B47"/>
    <mergeCell ref="C46:C47"/>
    <mergeCell ref="D46:D47"/>
    <mergeCell ref="E46:E47"/>
    <mergeCell ref="F46:F47"/>
    <mergeCell ref="G46:G47"/>
    <mergeCell ref="H50:H51"/>
    <mergeCell ref="A51:A52"/>
    <mergeCell ref="B52:B53"/>
    <mergeCell ref="C52:C53"/>
    <mergeCell ref="D40:D41"/>
    <mergeCell ref="E40:E41"/>
    <mergeCell ref="N40:N41"/>
    <mergeCell ref="O40:O41"/>
    <mergeCell ref="P40:P41"/>
    <mergeCell ref="A41:A42"/>
    <mergeCell ref="B42:B43"/>
    <mergeCell ref="C42:C43"/>
    <mergeCell ref="D42:D43"/>
    <mergeCell ref="E42:E43"/>
    <mergeCell ref="F42:F43"/>
    <mergeCell ref="G42:G43"/>
    <mergeCell ref="F40:F41"/>
    <mergeCell ref="G40:G41"/>
    <mergeCell ref="H40:H41"/>
    <mergeCell ref="J40:J41"/>
    <mergeCell ref="K40:K41"/>
    <mergeCell ref="L40:L41"/>
    <mergeCell ref="H42:H43"/>
    <mergeCell ref="A43:A44"/>
    <mergeCell ref="B44:B45"/>
    <mergeCell ref="C44:C45"/>
    <mergeCell ref="D44:D45"/>
    <mergeCell ref="E44:E45"/>
    <mergeCell ref="P36:P37"/>
    <mergeCell ref="A37:A38"/>
    <mergeCell ref="B38:B39"/>
    <mergeCell ref="C38:C39"/>
    <mergeCell ref="D38:D39"/>
    <mergeCell ref="E38:E39"/>
    <mergeCell ref="F38:F39"/>
    <mergeCell ref="G38:G39"/>
    <mergeCell ref="H38:H39"/>
    <mergeCell ref="J38:J39"/>
    <mergeCell ref="H36:H37"/>
    <mergeCell ref="J36:J37"/>
    <mergeCell ref="K36:K37"/>
    <mergeCell ref="L36:L37"/>
    <mergeCell ref="N36:N37"/>
    <mergeCell ref="O36:O37"/>
    <mergeCell ref="K38:K39"/>
    <mergeCell ref="L38:L39"/>
    <mergeCell ref="N38:N39"/>
    <mergeCell ref="O38:O39"/>
    <mergeCell ref="P38:P39"/>
    <mergeCell ref="A39:A40"/>
    <mergeCell ref="B40:B41"/>
    <mergeCell ref="C40:C41"/>
    <mergeCell ref="F25:F26"/>
    <mergeCell ref="G25:G26"/>
    <mergeCell ref="H29:H30"/>
    <mergeCell ref="A30:A31"/>
    <mergeCell ref="B33:H33"/>
    <mergeCell ref="A35:A36"/>
    <mergeCell ref="B36:B37"/>
    <mergeCell ref="C36:C37"/>
    <mergeCell ref="D36:D37"/>
    <mergeCell ref="E36:E37"/>
    <mergeCell ref="F36:F37"/>
    <mergeCell ref="G36:G37"/>
    <mergeCell ref="B29:B30"/>
    <mergeCell ref="C29:C30"/>
    <mergeCell ref="D29:D30"/>
    <mergeCell ref="E29:E30"/>
    <mergeCell ref="F29:F30"/>
    <mergeCell ref="G29:G30"/>
    <mergeCell ref="F23:F24"/>
    <mergeCell ref="G23:G24"/>
    <mergeCell ref="H23:H24"/>
    <mergeCell ref="A24:A25"/>
    <mergeCell ref="B21:B22"/>
    <mergeCell ref="C21:C22"/>
    <mergeCell ref="D21:D22"/>
    <mergeCell ref="E21:E22"/>
    <mergeCell ref="F21:F22"/>
    <mergeCell ref="G21:G22"/>
    <mergeCell ref="H25:H26"/>
    <mergeCell ref="A26:A27"/>
    <mergeCell ref="B27:B28"/>
    <mergeCell ref="C27:C28"/>
    <mergeCell ref="D27:D28"/>
    <mergeCell ref="E27:E28"/>
    <mergeCell ref="F27:F28"/>
    <mergeCell ref="G27:G28"/>
    <mergeCell ref="H27:H28"/>
    <mergeCell ref="A28:A29"/>
    <mergeCell ref="B25:B26"/>
    <mergeCell ref="C25:C26"/>
    <mergeCell ref="D25:D26"/>
    <mergeCell ref="E25:E26"/>
    <mergeCell ref="H15:H16"/>
    <mergeCell ref="A16:A17"/>
    <mergeCell ref="H17:H18"/>
    <mergeCell ref="A18:A19"/>
    <mergeCell ref="B19:B20"/>
    <mergeCell ref="C19:C20"/>
    <mergeCell ref="D19:D20"/>
    <mergeCell ref="E19:E20"/>
    <mergeCell ref="F19:F20"/>
    <mergeCell ref="G19:G20"/>
    <mergeCell ref="H19:H20"/>
    <mergeCell ref="A20:A21"/>
    <mergeCell ref="B17:B18"/>
    <mergeCell ref="C17:C18"/>
    <mergeCell ref="D17:D18"/>
    <mergeCell ref="E17:E18"/>
    <mergeCell ref="F17:F18"/>
    <mergeCell ref="G17:G18"/>
    <mergeCell ref="H21:H22"/>
    <mergeCell ref="A22:A23"/>
    <mergeCell ref="B23:B24"/>
    <mergeCell ref="C23:C24"/>
    <mergeCell ref="D23:D24"/>
    <mergeCell ref="E23:E24"/>
    <mergeCell ref="P9:P10"/>
    <mergeCell ref="A10:A11"/>
    <mergeCell ref="B11:B12"/>
    <mergeCell ref="C11:C12"/>
    <mergeCell ref="D11:D12"/>
    <mergeCell ref="E11:E12"/>
    <mergeCell ref="F11:F12"/>
    <mergeCell ref="G11:G12"/>
    <mergeCell ref="H11:H12"/>
    <mergeCell ref="A12:A13"/>
    <mergeCell ref="B13:B14"/>
    <mergeCell ref="C13:C14"/>
    <mergeCell ref="D13:D14"/>
    <mergeCell ref="E13:E14"/>
    <mergeCell ref="F13:F14"/>
    <mergeCell ref="G13:G14"/>
    <mergeCell ref="H13:H14"/>
    <mergeCell ref="A14:A15"/>
    <mergeCell ref="B15:B16"/>
    <mergeCell ref="C15:C16"/>
    <mergeCell ref="D15:D16"/>
    <mergeCell ref="E15:E16"/>
    <mergeCell ref="F15:F16"/>
    <mergeCell ref="G15:G16"/>
    <mergeCell ref="H9:H10"/>
    <mergeCell ref="J9:J10"/>
    <mergeCell ref="H7:H8"/>
    <mergeCell ref="J7:J8"/>
    <mergeCell ref="K7:K8"/>
    <mergeCell ref="L7:L8"/>
    <mergeCell ref="N7:N8"/>
    <mergeCell ref="O7:O8"/>
    <mergeCell ref="B7:B8"/>
    <mergeCell ref="C7:C8"/>
    <mergeCell ref="D7:D8"/>
    <mergeCell ref="E7:E8"/>
    <mergeCell ref="F7:F8"/>
    <mergeCell ref="G7:G8"/>
    <mergeCell ref="K9:K10"/>
    <mergeCell ref="L9:L10"/>
    <mergeCell ref="N9:N10"/>
    <mergeCell ref="O9:O10"/>
    <mergeCell ref="J5:J6"/>
    <mergeCell ref="K5:K6"/>
    <mergeCell ref="L5:L6"/>
    <mergeCell ref="N5:N6"/>
    <mergeCell ref="O5:O6"/>
    <mergeCell ref="P5:P6"/>
    <mergeCell ref="B2:H2"/>
    <mergeCell ref="A4:A5"/>
    <mergeCell ref="B5:B6"/>
    <mergeCell ref="C5:C6"/>
    <mergeCell ref="D5:D6"/>
    <mergeCell ref="E5:E6"/>
    <mergeCell ref="F5:F6"/>
    <mergeCell ref="G5:G6"/>
    <mergeCell ref="H5:H6"/>
    <mergeCell ref="A6:A7"/>
    <mergeCell ref="P7:P8"/>
    <mergeCell ref="A8:A9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5"/>
  <sheetViews>
    <sheetView topLeftCell="A25" workbookViewId="0">
      <selection activeCell="A3" sqref="A3"/>
    </sheetView>
  </sheetViews>
  <sheetFormatPr baseColWidth="10" defaultRowHeight="15"/>
  <cols>
    <col min="1" max="1" width="21" bestFit="1" customWidth="1"/>
    <col min="2" max="2" width="23.42578125" bestFit="1" customWidth="1"/>
    <col min="3" max="3" width="46.28515625" bestFit="1" customWidth="1"/>
    <col min="4" max="4" width="13.28515625" bestFit="1" customWidth="1"/>
  </cols>
  <sheetData>
    <row r="3" spans="1:4">
      <c r="B3" s="12" t="s">
        <v>255</v>
      </c>
    </row>
    <row r="4" spans="1:4">
      <c r="A4" s="12" t="s">
        <v>11</v>
      </c>
      <c r="B4" t="s">
        <v>254</v>
      </c>
      <c r="C4" t="s">
        <v>256</v>
      </c>
      <c r="D4" t="s">
        <v>260</v>
      </c>
    </row>
    <row r="5" spans="1:4">
      <c r="A5" s="13" t="s">
        <v>74</v>
      </c>
      <c r="B5" s="14">
        <v>36000</v>
      </c>
      <c r="C5" s="14">
        <v>3408</v>
      </c>
      <c r="D5" s="14">
        <v>36000</v>
      </c>
    </row>
    <row r="6" spans="1:4">
      <c r="A6" s="21">
        <v>57.96</v>
      </c>
      <c r="B6" s="14">
        <v>36000</v>
      </c>
      <c r="C6" s="14">
        <v>3408</v>
      </c>
      <c r="D6" s="14">
        <v>36000</v>
      </c>
    </row>
    <row r="7" spans="1:4">
      <c r="A7" s="13" t="s">
        <v>75</v>
      </c>
      <c r="B7" s="14">
        <v>36000</v>
      </c>
      <c r="C7" s="14">
        <v>3408</v>
      </c>
      <c r="D7" s="14">
        <v>36000</v>
      </c>
    </row>
    <row r="8" spans="1:4">
      <c r="A8" s="21">
        <v>57.96</v>
      </c>
      <c r="B8" s="14">
        <v>36000</v>
      </c>
      <c r="C8" s="14">
        <v>3408</v>
      </c>
      <c r="D8" s="14">
        <v>36000</v>
      </c>
    </row>
    <row r="9" spans="1:4">
      <c r="A9" s="13" t="s">
        <v>76</v>
      </c>
      <c r="B9" s="14">
        <v>36000</v>
      </c>
      <c r="C9" s="14">
        <v>3408</v>
      </c>
      <c r="D9" s="14">
        <v>36000</v>
      </c>
    </row>
    <row r="10" spans="1:4">
      <c r="A10" s="21">
        <v>57.96</v>
      </c>
      <c r="B10" s="14">
        <v>36000</v>
      </c>
      <c r="C10" s="14">
        <v>3408</v>
      </c>
      <c r="D10" s="14">
        <v>36000</v>
      </c>
    </row>
    <row r="11" spans="1:4">
      <c r="A11" s="13" t="s">
        <v>77</v>
      </c>
      <c r="B11" s="14">
        <v>36000</v>
      </c>
      <c r="C11" s="14">
        <v>3408</v>
      </c>
      <c r="D11" s="14">
        <v>36000</v>
      </c>
    </row>
    <row r="12" spans="1:4">
      <c r="A12" s="21">
        <v>57.96</v>
      </c>
      <c r="B12" s="14">
        <v>36000</v>
      </c>
      <c r="C12" s="14">
        <v>3408</v>
      </c>
      <c r="D12" s="14">
        <v>36000</v>
      </c>
    </row>
    <row r="13" spans="1:4">
      <c r="A13" s="13" t="s">
        <v>78</v>
      </c>
      <c r="B13" s="14">
        <v>36000</v>
      </c>
      <c r="C13" s="14">
        <v>3408</v>
      </c>
      <c r="D13" s="14">
        <v>36000</v>
      </c>
    </row>
    <row r="14" spans="1:4">
      <c r="A14" s="21">
        <v>57.96</v>
      </c>
      <c r="B14" s="14">
        <v>36000</v>
      </c>
      <c r="C14" s="14">
        <v>3408</v>
      </c>
      <c r="D14" s="14">
        <v>36000</v>
      </c>
    </row>
    <row r="15" spans="1:4">
      <c r="A15" s="13" t="s">
        <v>79</v>
      </c>
      <c r="B15" s="14">
        <v>36000</v>
      </c>
      <c r="C15" s="14">
        <v>3408</v>
      </c>
      <c r="D15" s="14">
        <v>36000</v>
      </c>
    </row>
    <row r="16" spans="1:4">
      <c r="A16" s="21">
        <v>57.96</v>
      </c>
      <c r="B16" s="14">
        <v>36000</v>
      </c>
      <c r="C16" s="14">
        <v>3408</v>
      </c>
      <c r="D16" s="14">
        <v>36000</v>
      </c>
    </row>
    <row r="17" spans="1:4">
      <c r="A17" s="13" t="s">
        <v>80</v>
      </c>
      <c r="B17" s="14">
        <v>36000</v>
      </c>
      <c r="C17" s="14">
        <v>3408</v>
      </c>
      <c r="D17" s="14">
        <v>36000</v>
      </c>
    </row>
    <row r="18" spans="1:4">
      <c r="A18" s="21">
        <v>57.96</v>
      </c>
      <c r="B18" s="14">
        <v>36000</v>
      </c>
      <c r="C18" s="14">
        <v>3408</v>
      </c>
      <c r="D18" s="14">
        <v>36000</v>
      </c>
    </row>
    <row r="19" spans="1:4">
      <c r="A19" s="13" t="s">
        <v>81</v>
      </c>
      <c r="B19" s="14">
        <v>36000</v>
      </c>
      <c r="C19" s="14">
        <v>3408</v>
      </c>
      <c r="D19" s="14">
        <v>36000</v>
      </c>
    </row>
    <row r="20" spans="1:4">
      <c r="A20" s="21">
        <v>57.96</v>
      </c>
      <c r="B20" s="14">
        <v>36000</v>
      </c>
      <c r="C20" s="14">
        <v>3408</v>
      </c>
      <c r="D20" s="14">
        <v>36000</v>
      </c>
    </row>
    <row r="21" spans="1:4">
      <c r="A21" s="13" t="s">
        <v>82</v>
      </c>
      <c r="B21" s="14">
        <v>36000</v>
      </c>
      <c r="C21" s="14">
        <v>3408</v>
      </c>
      <c r="D21" s="14">
        <v>36000</v>
      </c>
    </row>
    <row r="22" spans="1:4">
      <c r="A22" s="21">
        <v>57.96</v>
      </c>
      <c r="B22" s="14">
        <v>36000</v>
      </c>
      <c r="C22" s="14">
        <v>3408</v>
      </c>
      <c r="D22" s="14">
        <v>36000</v>
      </c>
    </row>
    <row r="23" spans="1:4">
      <c r="A23" s="13" t="s">
        <v>267</v>
      </c>
      <c r="B23" s="14">
        <v>36000</v>
      </c>
      <c r="C23" s="14">
        <v>3408</v>
      </c>
      <c r="D23" s="14">
        <v>36000</v>
      </c>
    </row>
    <row r="24" spans="1:4">
      <c r="A24" s="21">
        <v>57.96</v>
      </c>
      <c r="B24" s="14">
        <v>36000</v>
      </c>
      <c r="C24" s="14">
        <v>3408</v>
      </c>
      <c r="D24" s="14">
        <v>36000</v>
      </c>
    </row>
    <row r="25" spans="1:4">
      <c r="A25" s="13" t="s">
        <v>12</v>
      </c>
      <c r="B25" s="14">
        <v>360000</v>
      </c>
      <c r="C25" s="14">
        <v>34080</v>
      </c>
      <c r="D25" s="14">
        <v>360000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C25"/>
  <sheetViews>
    <sheetView topLeftCell="A22" zoomScale="70" zoomScaleNormal="70" workbookViewId="0">
      <selection activeCell="C6" sqref="C6"/>
    </sheetView>
  </sheetViews>
  <sheetFormatPr baseColWidth="10" defaultRowHeight="15"/>
  <cols>
    <col min="1" max="1" width="21" bestFit="1" customWidth="1"/>
    <col min="2" max="2" width="29" bestFit="1" customWidth="1"/>
    <col min="3" max="3" width="62.85546875" customWidth="1"/>
    <col min="4" max="4" width="34" bestFit="1" customWidth="1"/>
    <col min="5" max="5" width="51.28515625" bestFit="1" customWidth="1"/>
  </cols>
  <sheetData>
    <row r="3" spans="1:3">
      <c r="B3" s="12" t="s">
        <v>255</v>
      </c>
    </row>
    <row r="4" spans="1:3">
      <c r="A4" s="12" t="s">
        <v>11</v>
      </c>
      <c r="B4" t="s">
        <v>257</v>
      </c>
      <c r="C4" t="s">
        <v>256</v>
      </c>
    </row>
    <row r="5" spans="1:3">
      <c r="A5" s="13" t="s">
        <v>74</v>
      </c>
      <c r="B5" s="14">
        <v>4260</v>
      </c>
      <c r="C5" s="14">
        <v>3408</v>
      </c>
    </row>
    <row r="6" spans="1:3">
      <c r="A6" s="21">
        <v>12</v>
      </c>
      <c r="B6" s="14">
        <v>4260</v>
      </c>
      <c r="C6" s="14">
        <v>3408</v>
      </c>
    </row>
    <row r="7" spans="1:3">
      <c r="A7" s="13" t="s">
        <v>75</v>
      </c>
      <c r="B7" s="14">
        <v>4260</v>
      </c>
      <c r="C7" s="14">
        <v>3408</v>
      </c>
    </row>
    <row r="8" spans="1:3">
      <c r="A8" s="21">
        <v>12</v>
      </c>
      <c r="B8" s="14">
        <v>4260</v>
      </c>
      <c r="C8" s="14">
        <v>3408</v>
      </c>
    </row>
    <row r="9" spans="1:3">
      <c r="A9" s="13" t="s">
        <v>76</v>
      </c>
      <c r="B9" s="14">
        <v>4260</v>
      </c>
      <c r="C9" s="14">
        <v>3408</v>
      </c>
    </row>
    <row r="10" spans="1:3">
      <c r="A10" s="21">
        <v>12</v>
      </c>
      <c r="B10" s="14">
        <v>4260</v>
      </c>
      <c r="C10" s="14">
        <v>3408</v>
      </c>
    </row>
    <row r="11" spans="1:3">
      <c r="A11" s="13" t="s">
        <v>77</v>
      </c>
      <c r="B11" s="14">
        <v>4260</v>
      </c>
      <c r="C11" s="14">
        <v>3408</v>
      </c>
    </row>
    <row r="12" spans="1:3">
      <c r="A12" s="21">
        <v>12</v>
      </c>
      <c r="B12" s="14">
        <v>4260</v>
      </c>
      <c r="C12" s="14">
        <v>3408</v>
      </c>
    </row>
    <row r="13" spans="1:3">
      <c r="A13" s="13" t="s">
        <v>78</v>
      </c>
      <c r="B13" s="14">
        <v>4260</v>
      </c>
      <c r="C13" s="14">
        <v>3408</v>
      </c>
    </row>
    <row r="14" spans="1:3">
      <c r="A14" s="21">
        <v>12</v>
      </c>
      <c r="B14" s="14">
        <v>4260</v>
      </c>
      <c r="C14" s="14">
        <v>3408</v>
      </c>
    </row>
    <row r="15" spans="1:3">
      <c r="A15" s="13" t="s">
        <v>79</v>
      </c>
      <c r="B15" s="14">
        <v>4260</v>
      </c>
      <c r="C15" s="14">
        <v>3408</v>
      </c>
    </row>
    <row r="16" spans="1:3">
      <c r="A16" s="21">
        <v>12</v>
      </c>
      <c r="B16" s="14">
        <v>4260</v>
      </c>
      <c r="C16" s="14">
        <v>3408</v>
      </c>
    </row>
    <row r="17" spans="1:3">
      <c r="A17" s="13" t="s">
        <v>80</v>
      </c>
      <c r="B17" s="14">
        <v>4260</v>
      </c>
      <c r="C17" s="14">
        <v>3408</v>
      </c>
    </row>
    <row r="18" spans="1:3">
      <c r="A18" s="21">
        <v>12</v>
      </c>
      <c r="B18" s="14">
        <v>4260</v>
      </c>
      <c r="C18" s="14">
        <v>3408</v>
      </c>
    </row>
    <row r="19" spans="1:3">
      <c r="A19" s="13" t="s">
        <v>81</v>
      </c>
      <c r="B19" s="14">
        <v>4260</v>
      </c>
      <c r="C19" s="14">
        <v>3408</v>
      </c>
    </row>
    <row r="20" spans="1:3">
      <c r="A20" s="21">
        <v>12</v>
      </c>
      <c r="B20" s="14">
        <v>4260</v>
      </c>
      <c r="C20" s="14">
        <v>3408</v>
      </c>
    </row>
    <row r="21" spans="1:3">
      <c r="A21" s="13" t="s">
        <v>82</v>
      </c>
      <c r="B21" s="14">
        <v>4260</v>
      </c>
      <c r="C21" s="14">
        <v>3408</v>
      </c>
    </row>
    <row r="22" spans="1:3">
      <c r="A22" s="21">
        <v>12</v>
      </c>
      <c r="B22" s="14">
        <v>4260</v>
      </c>
      <c r="C22" s="14">
        <v>3408</v>
      </c>
    </row>
    <row r="23" spans="1:3">
      <c r="A23" s="13" t="s">
        <v>267</v>
      </c>
      <c r="B23" s="14">
        <v>4260</v>
      </c>
      <c r="C23" s="14">
        <v>3408</v>
      </c>
    </row>
    <row r="24" spans="1:3">
      <c r="A24" s="21">
        <v>12</v>
      </c>
      <c r="B24" s="14">
        <v>4260</v>
      </c>
      <c r="C24" s="14">
        <v>3408</v>
      </c>
    </row>
    <row r="25" spans="1:3">
      <c r="A25" s="13" t="s">
        <v>12</v>
      </c>
      <c r="B25" s="14">
        <v>42600</v>
      </c>
      <c r="C25" s="14">
        <v>34080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24"/>
  <sheetViews>
    <sheetView topLeftCell="A13" zoomScale="70" zoomScaleNormal="70" workbookViewId="0">
      <selection activeCell="E22" sqref="E22"/>
    </sheetView>
  </sheetViews>
  <sheetFormatPr baseColWidth="10" defaultRowHeight="15"/>
  <cols>
    <col min="1" max="1" width="21" bestFit="1" customWidth="1"/>
    <col min="2" max="2" width="33" customWidth="1"/>
  </cols>
  <sheetData>
    <row r="3" spans="1:2">
      <c r="A3" s="12" t="s">
        <v>11</v>
      </c>
      <c r="B3" t="s">
        <v>258</v>
      </c>
    </row>
    <row r="4" spans="1:2">
      <c r="A4" s="13" t="s">
        <v>74</v>
      </c>
      <c r="B4" s="14">
        <v>28240</v>
      </c>
    </row>
    <row r="5" spans="1:2">
      <c r="A5" s="21">
        <v>57.96</v>
      </c>
      <c r="B5" s="14">
        <v>28240</v>
      </c>
    </row>
    <row r="6" spans="1:2">
      <c r="A6" s="13" t="s">
        <v>75</v>
      </c>
      <c r="B6" s="14">
        <v>28240</v>
      </c>
    </row>
    <row r="7" spans="1:2">
      <c r="A7" s="21">
        <v>57.96</v>
      </c>
      <c r="B7" s="14">
        <v>28240</v>
      </c>
    </row>
    <row r="8" spans="1:2">
      <c r="A8" s="13" t="s">
        <v>76</v>
      </c>
      <c r="B8" s="14">
        <v>28240</v>
      </c>
    </row>
    <row r="9" spans="1:2">
      <c r="A9" s="21">
        <v>57.96</v>
      </c>
      <c r="B9" s="14">
        <v>28240</v>
      </c>
    </row>
    <row r="10" spans="1:2">
      <c r="A10" s="13" t="s">
        <v>77</v>
      </c>
      <c r="B10" s="14">
        <v>28240</v>
      </c>
    </row>
    <row r="11" spans="1:2">
      <c r="A11" s="21">
        <v>57.96</v>
      </c>
      <c r="B11" s="14">
        <v>28240</v>
      </c>
    </row>
    <row r="12" spans="1:2">
      <c r="A12" s="13" t="s">
        <v>78</v>
      </c>
      <c r="B12" s="14">
        <v>28240</v>
      </c>
    </row>
    <row r="13" spans="1:2">
      <c r="A13" s="21">
        <v>57.96</v>
      </c>
      <c r="B13" s="14">
        <v>28240</v>
      </c>
    </row>
    <row r="14" spans="1:2">
      <c r="A14" s="13" t="s">
        <v>79</v>
      </c>
      <c r="B14" s="14">
        <v>28240</v>
      </c>
    </row>
    <row r="15" spans="1:2">
      <c r="A15" s="21">
        <v>57.96</v>
      </c>
      <c r="B15" s="14">
        <v>28240</v>
      </c>
    </row>
    <row r="16" spans="1:2">
      <c r="A16" s="13" t="s">
        <v>80</v>
      </c>
      <c r="B16" s="14">
        <v>28240</v>
      </c>
    </row>
    <row r="17" spans="1:2">
      <c r="A17" s="21">
        <v>57.96</v>
      </c>
      <c r="B17" s="14">
        <v>28240</v>
      </c>
    </row>
    <row r="18" spans="1:2">
      <c r="A18" s="13" t="s">
        <v>81</v>
      </c>
      <c r="B18" s="14">
        <v>28240</v>
      </c>
    </row>
    <row r="19" spans="1:2">
      <c r="A19" s="21">
        <v>57.96</v>
      </c>
      <c r="B19" s="14">
        <v>28240</v>
      </c>
    </row>
    <row r="20" spans="1:2">
      <c r="A20" s="13" t="s">
        <v>82</v>
      </c>
      <c r="B20" s="14">
        <v>28240</v>
      </c>
    </row>
    <row r="21" spans="1:2">
      <c r="A21" s="21">
        <v>57.96</v>
      </c>
      <c r="B21" s="14">
        <v>28240</v>
      </c>
    </row>
    <row r="22" spans="1:2">
      <c r="A22" s="13" t="s">
        <v>267</v>
      </c>
      <c r="B22" s="14">
        <v>28240</v>
      </c>
    </row>
    <row r="23" spans="1:2">
      <c r="A23" s="21">
        <v>57.96</v>
      </c>
      <c r="B23" s="14">
        <v>28240</v>
      </c>
    </row>
    <row r="24" spans="1:2">
      <c r="A24" s="13" t="s">
        <v>12</v>
      </c>
      <c r="B24" s="14">
        <v>282400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C25"/>
  <sheetViews>
    <sheetView topLeftCell="A24" workbookViewId="0">
      <selection activeCell="A3" sqref="A3"/>
    </sheetView>
  </sheetViews>
  <sheetFormatPr baseColWidth="10" defaultRowHeight="15"/>
  <cols>
    <col min="1" max="1" width="21" bestFit="1" customWidth="1"/>
    <col min="2" max="2" width="22.5703125" bestFit="1" customWidth="1"/>
    <col min="3" max="3" width="13.28515625" bestFit="1" customWidth="1"/>
  </cols>
  <sheetData>
    <row r="3" spans="1:3">
      <c r="B3" s="12" t="s">
        <v>255</v>
      </c>
    </row>
    <row r="4" spans="1:3">
      <c r="A4" s="12" t="s">
        <v>11</v>
      </c>
      <c r="B4" t="s">
        <v>259</v>
      </c>
      <c r="C4" t="s">
        <v>260</v>
      </c>
    </row>
    <row r="5" spans="1:3">
      <c r="A5" s="13" t="s">
        <v>74</v>
      </c>
      <c r="B5" s="14">
        <v>13459</v>
      </c>
      <c r="C5" s="14">
        <v>36000</v>
      </c>
    </row>
    <row r="6" spans="1:3">
      <c r="A6" s="21">
        <v>4260</v>
      </c>
      <c r="B6" s="14">
        <v>13459</v>
      </c>
      <c r="C6" s="14">
        <v>36000</v>
      </c>
    </row>
    <row r="7" spans="1:3">
      <c r="A7" s="13" t="s">
        <v>75</v>
      </c>
      <c r="B7" s="14">
        <v>13459</v>
      </c>
      <c r="C7" s="14">
        <v>36000</v>
      </c>
    </row>
    <row r="8" spans="1:3">
      <c r="A8" s="21">
        <v>4260</v>
      </c>
      <c r="B8" s="14">
        <v>13459</v>
      </c>
      <c r="C8" s="14">
        <v>36000</v>
      </c>
    </row>
    <row r="9" spans="1:3">
      <c r="A9" s="13" t="s">
        <v>76</v>
      </c>
      <c r="B9" s="14">
        <v>13459</v>
      </c>
      <c r="C9" s="14">
        <v>36000</v>
      </c>
    </row>
    <row r="10" spans="1:3">
      <c r="A10" s="21">
        <v>4260</v>
      </c>
      <c r="B10" s="14">
        <v>13459</v>
      </c>
      <c r="C10" s="14">
        <v>36000</v>
      </c>
    </row>
    <row r="11" spans="1:3">
      <c r="A11" s="13" t="s">
        <v>77</v>
      </c>
      <c r="B11" s="14">
        <v>13459</v>
      </c>
      <c r="C11" s="14">
        <v>36000</v>
      </c>
    </row>
    <row r="12" spans="1:3">
      <c r="A12" s="21">
        <v>4260</v>
      </c>
      <c r="B12" s="14">
        <v>13459</v>
      </c>
      <c r="C12" s="14">
        <v>36000</v>
      </c>
    </row>
    <row r="13" spans="1:3">
      <c r="A13" s="13" t="s">
        <v>78</v>
      </c>
      <c r="B13" s="14">
        <v>13459</v>
      </c>
      <c r="C13" s="14">
        <v>36000</v>
      </c>
    </row>
    <row r="14" spans="1:3">
      <c r="A14" s="21">
        <v>4260</v>
      </c>
      <c r="B14" s="14">
        <v>13459</v>
      </c>
      <c r="C14" s="14">
        <v>36000</v>
      </c>
    </row>
    <row r="15" spans="1:3">
      <c r="A15" s="13" t="s">
        <v>79</v>
      </c>
      <c r="B15" s="14">
        <v>13459</v>
      </c>
      <c r="C15" s="14">
        <v>36000</v>
      </c>
    </row>
    <row r="16" spans="1:3">
      <c r="A16" s="21">
        <v>4260</v>
      </c>
      <c r="B16" s="14">
        <v>13459</v>
      </c>
      <c r="C16" s="14">
        <v>36000</v>
      </c>
    </row>
    <row r="17" spans="1:3">
      <c r="A17" s="13" t="s">
        <v>80</v>
      </c>
      <c r="B17" s="14">
        <v>13459</v>
      </c>
      <c r="C17" s="14">
        <v>36000</v>
      </c>
    </row>
    <row r="18" spans="1:3">
      <c r="A18" s="21">
        <v>4260</v>
      </c>
      <c r="B18" s="14">
        <v>13459</v>
      </c>
      <c r="C18" s="14">
        <v>36000</v>
      </c>
    </row>
    <row r="19" spans="1:3">
      <c r="A19" s="13" t="s">
        <v>81</v>
      </c>
      <c r="B19" s="14">
        <v>13459</v>
      </c>
      <c r="C19" s="14">
        <v>36000</v>
      </c>
    </row>
    <row r="20" spans="1:3">
      <c r="A20" s="21">
        <v>4260</v>
      </c>
      <c r="B20" s="14">
        <v>13459</v>
      </c>
      <c r="C20" s="14">
        <v>36000</v>
      </c>
    </row>
    <row r="21" spans="1:3">
      <c r="A21" s="13" t="s">
        <v>82</v>
      </c>
      <c r="B21" s="14">
        <v>13459</v>
      </c>
      <c r="C21" s="14">
        <v>36000</v>
      </c>
    </row>
    <row r="22" spans="1:3">
      <c r="A22" s="21">
        <v>4260</v>
      </c>
      <c r="B22" s="14">
        <v>13459</v>
      </c>
      <c r="C22" s="14">
        <v>36000</v>
      </c>
    </row>
    <row r="23" spans="1:3">
      <c r="A23" s="13" t="s">
        <v>267</v>
      </c>
      <c r="B23" s="14">
        <v>13459</v>
      </c>
      <c r="C23" s="14">
        <v>36000</v>
      </c>
    </row>
    <row r="24" spans="1:3">
      <c r="A24" s="21">
        <v>4260</v>
      </c>
      <c r="B24" s="14">
        <v>13459</v>
      </c>
      <c r="C24" s="14">
        <v>36000</v>
      </c>
    </row>
    <row r="25" spans="1:3">
      <c r="A25" s="13" t="s">
        <v>12</v>
      </c>
      <c r="B25" s="14">
        <v>134590</v>
      </c>
      <c r="C25" s="14">
        <v>360000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E15"/>
  <sheetViews>
    <sheetView topLeftCell="C13" zoomScale="85" zoomScaleNormal="85" workbookViewId="0">
      <selection activeCell="A3" sqref="A3"/>
    </sheetView>
  </sheetViews>
  <sheetFormatPr baseColWidth="10" defaultRowHeight="15"/>
  <cols>
    <col min="1" max="1" width="21" bestFit="1" customWidth="1"/>
    <col min="2" max="2" width="22.5703125" bestFit="1" customWidth="1"/>
    <col min="3" max="3" width="23.42578125" bestFit="1" customWidth="1"/>
    <col min="4" max="4" width="13.28515625" customWidth="1"/>
    <col min="5" max="5" width="46.28515625" bestFit="1" customWidth="1"/>
  </cols>
  <sheetData>
    <row r="3" spans="1:5">
      <c r="B3" s="12" t="s">
        <v>255</v>
      </c>
    </row>
    <row r="4" spans="1:5">
      <c r="A4" s="12" t="s">
        <v>11</v>
      </c>
      <c r="B4" t="s">
        <v>258</v>
      </c>
      <c r="C4" t="s">
        <v>254</v>
      </c>
      <c r="D4" t="s">
        <v>260</v>
      </c>
      <c r="E4" t="s">
        <v>256</v>
      </c>
    </row>
    <row r="5" spans="1:5">
      <c r="A5" s="13" t="s">
        <v>74</v>
      </c>
      <c r="B5" s="14">
        <v>28240</v>
      </c>
      <c r="C5" s="14">
        <v>36000</v>
      </c>
      <c r="D5" s="14">
        <v>36000</v>
      </c>
      <c r="E5" s="14">
        <v>3408</v>
      </c>
    </row>
    <row r="6" spans="1:5">
      <c r="A6" s="13" t="s">
        <v>75</v>
      </c>
      <c r="B6" s="14">
        <v>28240</v>
      </c>
      <c r="C6" s="14">
        <v>36000</v>
      </c>
      <c r="D6" s="14">
        <v>36000</v>
      </c>
      <c r="E6" s="14">
        <v>3408</v>
      </c>
    </row>
    <row r="7" spans="1:5">
      <c r="A7" s="13" t="s">
        <v>76</v>
      </c>
      <c r="B7" s="14">
        <v>28240</v>
      </c>
      <c r="C7" s="14">
        <v>36000</v>
      </c>
      <c r="D7" s="14">
        <v>36000</v>
      </c>
      <c r="E7" s="14">
        <v>3408</v>
      </c>
    </row>
    <row r="8" spans="1:5">
      <c r="A8" s="13" t="s">
        <v>77</v>
      </c>
      <c r="B8" s="14">
        <v>28240</v>
      </c>
      <c r="C8" s="14">
        <v>36000</v>
      </c>
      <c r="D8" s="14">
        <v>36000</v>
      </c>
      <c r="E8" s="14">
        <v>3408</v>
      </c>
    </row>
    <row r="9" spans="1:5">
      <c r="A9" s="13" t="s">
        <v>78</v>
      </c>
      <c r="B9" s="14">
        <v>28240</v>
      </c>
      <c r="C9" s="14">
        <v>36000</v>
      </c>
      <c r="D9" s="14">
        <v>36000</v>
      </c>
      <c r="E9" s="14">
        <v>3408</v>
      </c>
    </row>
    <row r="10" spans="1:5">
      <c r="A10" s="13" t="s">
        <v>79</v>
      </c>
      <c r="B10" s="14">
        <v>28240</v>
      </c>
      <c r="C10" s="14">
        <v>36000</v>
      </c>
      <c r="D10" s="14">
        <v>36000</v>
      </c>
      <c r="E10" s="14">
        <v>3408</v>
      </c>
    </row>
    <row r="11" spans="1:5">
      <c r="A11" s="13" t="s">
        <v>80</v>
      </c>
      <c r="B11" s="14">
        <v>28240</v>
      </c>
      <c r="C11" s="14">
        <v>36000</v>
      </c>
      <c r="D11" s="14">
        <v>36000</v>
      </c>
      <c r="E11" s="14">
        <v>3408</v>
      </c>
    </row>
    <row r="12" spans="1:5">
      <c r="A12" s="13" t="s">
        <v>81</v>
      </c>
      <c r="B12" s="14">
        <v>28240</v>
      </c>
      <c r="C12" s="14">
        <v>36000</v>
      </c>
      <c r="D12" s="14">
        <v>36000</v>
      </c>
      <c r="E12" s="14">
        <v>3408</v>
      </c>
    </row>
    <row r="13" spans="1:5">
      <c r="A13" s="13" t="s">
        <v>82</v>
      </c>
      <c r="B13" s="14">
        <v>28240</v>
      </c>
      <c r="C13" s="14">
        <v>36000</v>
      </c>
      <c r="D13" s="14">
        <v>36000</v>
      </c>
      <c r="E13" s="14">
        <v>3408</v>
      </c>
    </row>
    <row r="14" spans="1:5">
      <c r="A14" s="13" t="s">
        <v>267</v>
      </c>
      <c r="B14" s="14">
        <v>28240</v>
      </c>
      <c r="C14" s="14">
        <v>36000</v>
      </c>
      <c r="D14" s="14">
        <v>36000</v>
      </c>
      <c r="E14" s="14">
        <v>3408</v>
      </c>
    </row>
    <row r="15" spans="1:5">
      <c r="A15" s="13" t="s">
        <v>12</v>
      </c>
      <c r="B15" s="14">
        <v>282400</v>
      </c>
      <c r="C15" s="14">
        <v>360000</v>
      </c>
      <c r="D15" s="14">
        <v>360000</v>
      </c>
      <c r="E15" s="14">
        <v>34080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sqref="A1:XFD1048576"/>
    </sheetView>
  </sheetViews>
  <sheetFormatPr baseColWidth="10" defaultRowHeight="15"/>
  <cols>
    <col min="2" max="2" width="9.28515625" style="32" customWidth="1"/>
    <col min="3" max="3" width="15.140625" style="32" customWidth="1"/>
    <col min="4" max="4" width="25.28515625" style="32" customWidth="1"/>
    <col min="5" max="5" width="21.85546875" style="32" customWidth="1"/>
    <col min="6" max="6" width="14.85546875" style="32" customWidth="1"/>
    <col min="7" max="7" width="35.5703125" style="32" customWidth="1"/>
    <col min="8" max="8" width="18.42578125" style="32" customWidth="1"/>
    <col min="9" max="9" width="20.42578125" style="32" customWidth="1"/>
    <col min="10" max="10" width="16.5703125" customWidth="1"/>
    <col min="11" max="11" width="7.5703125" customWidth="1"/>
  </cols>
  <sheetData>
    <row r="1" spans="1:11" ht="30.75" customHeight="1" thickBot="1">
      <c r="A1" s="28" t="s">
        <v>63</v>
      </c>
      <c r="B1" s="29" t="s">
        <v>64</v>
      </c>
      <c r="C1" s="29" t="s">
        <v>65</v>
      </c>
      <c r="D1" s="29" t="s">
        <v>66</v>
      </c>
      <c r="E1" s="30" t="s">
        <v>67</v>
      </c>
      <c r="F1" s="31" t="s">
        <v>68</v>
      </c>
      <c r="G1" s="31" t="s">
        <v>69</v>
      </c>
      <c r="H1" s="31" t="s">
        <v>70</v>
      </c>
      <c r="I1" s="31" t="s">
        <v>71</v>
      </c>
      <c r="J1" s="31" t="s">
        <v>72</v>
      </c>
      <c r="K1" s="28" t="s">
        <v>73</v>
      </c>
    </row>
    <row r="2" spans="1:11" ht="15.75" thickTop="1">
      <c r="A2" s="32" t="s">
        <v>74</v>
      </c>
      <c r="B2" s="33">
        <v>36000</v>
      </c>
      <c r="C2" s="33">
        <v>28240</v>
      </c>
      <c r="D2" s="33">
        <v>36000</v>
      </c>
      <c r="E2" s="33">
        <v>13459</v>
      </c>
      <c r="F2" s="32">
        <v>57.96</v>
      </c>
      <c r="G2" s="32">
        <v>3408</v>
      </c>
      <c r="H2" s="32">
        <v>4260</v>
      </c>
      <c r="I2" s="32">
        <v>6</v>
      </c>
      <c r="J2" s="32">
        <v>10</v>
      </c>
      <c r="K2" s="14">
        <v>12</v>
      </c>
    </row>
    <row r="3" spans="1:11">
      <c r="A3" s="32" t="s">
        <v>75</v>
      </c>
      <c r="B3" s="33">
        <v>36000</v>
      </c>
      <c r="C3" s="33">
        <v>28240</v>
      </c>
      <c r="D3" s="33">
        <v>36000</v>
      </c>
      <c r="E3" s="33">
        <v>13459</v>
      </c>
      <c r="F3" s="32">
        <v>57.96</v>
      </c>
      <c r="G3" s="32">
        <v>3408</v>
      </c>
      <c r="H3" s="32">
        <v>4260</v>
      </c>
      <c r="I3" s="32">
        <v>6</v>
      </c>
      <c r="J3" s="32">
        <v>10</v>
      </c>
      <c r="K3" s="14">
        <v>12</v>
      </c>
    </row>
    <row r="4" spans="1:11">
      <c r="A4" s="32" t="s">
        <v>76</v>
      </c>
      <c r="B4" s="33">
        <v>36000</v>
      </c>
      <c r="C4" s="33">
        <v>28240</v>
      </c>
      <c r="D4" s="33">
        <v>36000</v>
      </c>
      <c r="E4" s="33">
        <v>13459</v>
      </c>
      <c r="F4" s="32">
        <v>57.96</v>
      </c>
      <c r="G4" s="32">
        <v>3408</v>
      </c>
      <c r="H4" s="32">
        <v>4260</v>
      </c>
      <c r="I4" s="32">
        <v>6</v>
      </c>
      <c r="J4" s="32">
        <v>10</v>
      </c>
      <c r="K4" s="14">
        <v>12</v>
      </c>
    </row>
    <row r="5" spans="1:11">
      <c r="A5" s="32" t="s">
        <v>77</v>
      </c>
      <c r="B5" s="33">
        <v>36000</v>
      </c>
      <c r="C5" s="33">
        <v>28240</v>
      </c>
      <c r="D5" s="33">
        <v>36000</v>
      </c>
      <c r="E5" s="33">
        <v>13459</v>
      </c>
      <c r="F5" s="32">
        <v>57.96</v>
      </c>
      <c r="G5" s="32">
        <v>3408</v>
      </c>
      <c r="H5" s="32">
        <v>4260</v>
      </c>
      <c r="I5" s="32">
        <v>6</v>
      </c>
      <c r="J5" s="32">
        <v>10</v>
      </c>
      <c r="K5" s="14">
        <v>12</v>
      </c>
    </row>
    <row r="6" spans="1:11">
      <c r="A6" s="32" t="s">
        <v>78</v>
      </c>
      <c r="B6" s="33">
        <v>36000</v>
      </c>
      <c r="C6" s="33">
        <v>28240</v>
      </c>
      <c r="D6" s="33">
        <v>36000</v>
      </c>
      <c r="E6" s="33">
        <v>13459</v>
      </c>
      <c r="F6" s="32">
        <v>57.96</v>
      </c>
      <c r="G6" s="32">
        <v>3408</v>
      </c>
      <c r="H6" s="32">
        <v>4260</v>
      </c>
      <c r="I6" s="32">
        <v>6</v>
      </c>
      <c r="J6" s="32">
        <v>10</v>
      </c>
      <c r="K6" s="14">
        <v>12</v>
      </c>
    </row>
    <row r="7" spans="1:11">
      <c r="A7" s="32" t="s">
        <v>79</v>
      </c>
      <c r="B7" s="33">
        <v>36000</v>
      </c>
      <c r="C7" s="33">
        <v>28240</v>
      </c>
      <c r="D7" s="33">
        <v>36000</v>
      </c>
      <c r="E7" s="33">
        <v>13459</v>
      </c>
      <c r="F7" s="32">
        <v>57.96</v>
      </c>
      <c r="G7" s="32">
        <v>3408</v>
      </c>
      <c r="H7" s="32">
        <v>4260</v>
      </c>
      <c r="I7" s="32">
        <v>6</v>
      </c>
      <c r="J7" s="32">
        <v>10</v>
      </c>
      <c r="K7" s="14">
        <v>12</v>
      </c>
    </row>
    <row r="8" spans="1:11">
      <c r="A8" s="32" t="s">
        <v>80</v>
      </c>
      <c r="B8" s="33">
        <v>36000</v>
      </c>
      <c r="C8" s="33">
        <v>28240</v>
      </c>
      <c r="D8" s="33">
        <v>36000</v>
      </c>
      <c r="E8" s="33">
        <v>13459</v>
      </c>
      <c r="F8" s="32">
        <v>57.96</v>
      </c>
      <c r="G8" s="32">
        <v>3408</v>
      </c>
      <c r="H8" s="32">
        <v>4260</v>
      </c>
      <c r="I8" s="32">
        <v>6</v>
      </c>
      <c r="J8" s="32">
        <v>10</v>
      </c>
      <c r="K8" s="14">
        <v>12</v>
      </c>
    </row>
    <row r="9" spans="1:11">
      <c r="A9" s="32" t="s">
        <v>81</v>
      </c>
      <c r="B9" s="33">
        <v>36000</v>
      </c>
      <c r="C9" s="33">
        <v>28240</v>
      </c>
      <c r="D9" s="33">
        <v>36000</v>
      </c>
      <c r="E9" s="33">
        <v>13459</v>
      </c>
      <c r="F9" s="32">
        <v>57.96</v>
      </c>
      <c r="G9" s="32">
        <v>3408</v>
      </c>
      <c r="H9" s="32">
        <v>4260</v>
      </c>
      <c r="I9" s="32">
        <v>6</v>
      </c>
      <c r="J9" s="32">
        <v>10</v>
      </c>
      <c r="K9" s="14">
        <v>12</v>
      </c>
    </row>
    <row r="10" spans="1:11">
      <c r="A10" s="32" t="s">
        <v>82</v>
      </c>
      <c r="B10" s="33">
        <v>36000</v>
      </c>
      <c r="C10" s="33">
        <v>28240</v>
      </c>
      <c r="D10" s="33">
        <v>36000</v>
      </c>
      <c r="E10" s="33">
        <v>13459</v>
      </c>
      <c r="F10" s="32">
        <v>57.96</v>
      </c>
      <c r="G10" s="32">
        <v>3408</v>
      </c>
      <c r="H10" s="32">
        <v>4260</v>
      </c>
      <c r="I10" s="32">
        <v>6</v>
      </c>
      <c r="J10" s="32">
        <v>10</v>
      </c>
      <c r="K10" s="14">
        <v>12</v>
      </c>
    </row>
    <row r="11" spans="1:11">
      <c r="A11" s="32" t="s">
        <v>267</v>
      </c>
      <c r="B11" s="33">
        <v>36000</v>
      </c>
      <c r="C11" s="33">
        <v>28240</v>
      </c>
      <c r="D11" s="33">
        <v>36000</v>
      </c>
      <c r="E11" s="33">
        <v>13459</v>
      </c>
      <c r="F11" s="32">
        <v>57.96</v>
      </c>
      <c r="G11" s="32">
        <v>3408</v>
      </c>
      <c r="H11" s="32">
        <v>4260</v>
      </c>
      <c r="I11" s="32">
        <v>6</v>
      </c>
      <c r="J11" s="32">
        <v>10</v>
      </c>
      <c r="K11" s="14">
        <v>12</v>
      </c>
    </row>
    <row r="13" spans="1:11">
      <c r="A13" s="34" t="s">
        <v>83</v>
      </c>
      <c r="B13" s="35">
        <f t="shared" ref="B13:I13" si="0">SUM(B2:B11)</f>
        <v>360000</v>
      </c>
      <c r="C13" s="35">
        <f t="shared" si="0"/>
        <v>282400</v>
      </c>
      <c r="D13" s="35">
        <f t="shared" si="0"/>
        <v>360000</v>
      </c>
      <c r="E13" s="35">
        <f t="shared" si="0"/>
        <v>134590</v>
      </c>
      <c r="F13" s="36">
        <f t="shared" si="0"/>
        <v>579.6</v>
      </c>
      <c r="G13" s="37">
        <f t="shared" si="0"/>
        <v>34080</v>
      </c>
      <c r="H13" s="36">
        <f t="shared" si="0"/>
        <v>42600</v>
      </c>
      <c r="I13" s="36">
        <f t="shared" si="0"/>
        <v>60</v>
      </c>
      <c r="J13" s="38">
        <f>SUM(data[NBRS HRS/JOURS])</f>
        <v>100</v>
      </c>
    </row>
    <row r="14" spans="1:11">
      <c r="E14" s="115" t="s">
        <v>261</v>
      </c>
      <c r="F14" s="115"/>
      <c r="G14" s="115"/>
      <c r="H14" s="115"/>
    </row>
    <row r="16" spans="1:11">
      <c r="D16" s="92">
        <v>360000</v>
      </c>
      <c r="E16" s="93" t="s">
        <v>262</v>
      </c>
      <c r="F16" s="94"/>
      <c r="G16" s="94"/>
    </row>
  </sheetData>
  <mergeCells count="1">
    <mergeCell ref="E14:H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B3:S22"/>
  <sheetViews>
    <sheetView topLeftCell="A2" workbookViewId="0">
      <selection sqref="A1:XFD1048576"/>
    </sheetView>
  </sheetViews>
  <sheetFormatPr baseColWidth="10" defaultRowHeight="15"/>
  <cols>
    <col min="2" max="2" width="18" customWidth="1"/>
    <col min="9" max="9" width="14.42578125" customWidth="1"/>
    <col min="15" max="15" width="15.7109375" customWidth="1"/>
  </cols>
  <sheetData>
    <row r="3" spans="2:19" s="43" customFormat="1" ht="42" customHeight="1">
      <c r="B3" s="39"/>
      <c r="C3" s="116" t="s">
        <v>84</v>
      </c>
      <c r="D3" s="116" t="s">
        <v>85</v>
      </c>
      <c r="E3" s="39" t="s">
        <v>86</v>
      </c>
      <c r="F3" s="116" t="s">
        <v>87</v>
      </c>
      <c r="G3" s="39" t="s">
        <v>88</v>
      </c>
      <c r="H3" s="116" t="s">
        <v>89</v>
      </c>
      <c r="I3" s="39" t="s">
        <v>90</v>
      </c>
      <c r="J3" s="39" t="s">
        <v>91</v>
      </c>
      <c r="K3" s="40" t="s">
        <v>92</v>
      </c>
      <c r="L3" s="40" t="s">
        <v>93</v>
      </c>
      <c r="M3" s="40" t="s">
        <v>94</v>
      </c>
      <c r="N3" s="40" t="s">
        <v>95</v>
      </c>
      <c r="O3" s="41" t="s">
        <v>96</v>
      </c>
      <c r="P3" s="41" t="s">
        <v>97</v>
      </c>
      <c r="Q3" s="42" t="s">
        <v>98</v>
      </c>
      <c r="R3" s="41" t="s">
        <v>99</v>
      </c>
      <c r="S3" s="41" t="s">
        <v>100</v>
      </c>
    </row>
    <row r="4" spans="2:19" ht="25.5" customHeight="1">
      <c r="B4" s="39" t="s">
        <v>101</v>
      </c>
      <c r="C4" s="116"/>
      <c r="D4" s="116"/>
      <c r="E4" s="39" t="s">
        <v>102</v>
      </c>
      <c r="F4" s="116"/>
      <c r="G4" s="39" t="s">
        <v>103</v>
      </c>
      <c r="H4" s="116"/>
      <c r="I4" s="39"/>
      <c r="J4" s="39"/>
    </row>
    <row r="5" spans="2:19" ht="20.25" customHeight="1">
      <c r="B5" s="44" t="s">
        <v>104</v>
      </c>
      <c r="C5" s="44">
        <v>10</v>
      </c>
      <c r="D5" s="44" t="s">
        <v>105</v>
      </c>
      <c r="E5" s="44">
        <v>160</v>
      </c>
      <c r="F5" s="44">
        <v>192</v>
      </c>
      <c r="G5" s="44">
        <v>160</v>
      </c>
      <c r="H5" s="44" t="s">
        <v>106</v>
      </c>
      <c r="I5" s="45">
        <f>1.2*J5</f>
        <v>19.2</v>
      </c>
      <c r="J5" s="45">
        <f>E5/C5</f>
        <v>16</v>
      </c>
      <c r="K5" s="46">
        <v>15</v>
      </c>
      <c r="L5" s="46">
        <f>1.2*K5</f>
        <v>18</v>
      </c>
      <c r="M5" s="47">
        <v>18</v>
      </c>
      <c r="N5" s="47">
        <f>M5/1.2</f>
        <v>15</v>
      </c>
      <c r="O5">
        <f>M5*C5</f>
        <v>180</v>
      </c>
      <c r="P5">
        <f>O5</f>
        <v>180</v>
      </c>
      <c r="Q5" s="48" t="s">
        <v>106</v>
      </c>
      <c r="R5">
        <f>O5/6</f>
        <v>30</v>
      </c>
      <c r="S5">
        <f>P5/6</f>
        <v>30</v>
      </c>
    </row>
    <row r="6" spans="2:19">
      <c r="B6" s="39" t="s">
        <v>107</v>
      </c>
      <c r="C6" s="39">
        <v>25</v>
      </c>
      <c r="D6" s="39" t="s">
        <v>108</v>
      </c>
      <c r="E6" s="39">
        <v>387.5</v>
      </c>
      <c r="F6" s="39">
        <v>465</v>
      </c>
      <c r="G6" s="39">
        <v>400</v>
      </c>
      <c r="H6" s="39" t="s">
        <v>109</v>
      </c>
      <c r="I6" s="45">
        <f t="shared" ref="I6:I10" si="0">1.2*J6</f>
        <v>18.599999999999998</v>
      </c>
      <c r="J6" s="45">
        <f t="shared" ref="J6:J10" si="1">E6/C6</f>
        <v>15.5</v>
      </c>
      <c r="K6" s="46">
        <f>K5-0.5</f>
        <v>14.5</v>
      </c>
      <c r="L6" s="46">
        <f t="shared" ref="L6:L10" si="2">1.2*K6</f>
        <v>17.399999999999999</v>
      </c>
      <c r="M6" s="47">
        <f>M5-0.6</f>
        <v>17.399999999999999</v>
      </c>
      <c r="N6" s="47">
        <f t="shared" ref="N6:N10" si="3">M6/1.2</f>
        <v>14.5</v>
      </c>
      <c r="O6">
        <f t="shared" ref="O6:O10" si="4">M6*C6</f>
        <v>434.99999999999994</v>
      </c>
      <c r="P6">
        <f>M$5*C6</f>
        <v>450</v>
      </c>
      <c r="Q6" s="49">
        <f>(P6-O6)/O6</f>
        <v>3.4482758620689793E-2</v>
      </c>
      <c r="R6">
        <f t="shared" ref="R6:S10" si="5">O6/6</f>
        <v>72.499999999999986</v>
      </c>
      <c r="S6">
        <f t="shared" si="5"/>
        <v>75</v>
      </c>
    </row>
    <row r="7" spans="2:19">
      <c r="B7" s="44" t="s">
        <v>110</v>
      </c>
      <c r="C7" s="44">
        <v>50</v>
      </c>
      <c r="D7" s="44" t="s">
        <v>111</v>
      </c>
      <c r="E7" s="44">
        <v>750</v>
      </c>
      <c r="F7" s="44">
        <v>900</v>
      </c>
      <c r="G7" s="44">
        <v>800</v>
      </c>
      <c r="H7" s="44" t="s">
        <v>112</v>
      </c>
      <c r="I7" s="45">
        <f t="shared" si="0"/>
        <v>18</v>
      </c>
      <c r="J7" s="45">
        <f t="shared" si="1"/>
        <v>15</v>
      </c>
      <c r="K7" s="46">
        <f t="shared" ref="K7:K10" si="6">K6-0.5</f>
        <v>14</v>
      </c>
      <c r="L7" s="46">
        <f t="shared" si="2"/>
        <v>16.8</v>
      </c>
      <c r="M7" s="47">
        <f t="shared" ref="M7:M10" si="7">M6-0.6</f>
        <v>16.799999999999997</v>
      </c>
      <c r="N7" s="47">
        <f t="shared" si="3"/>
        <v>13.999999999999998</v>
      </c>
      <c r="O7">
        <f t="shared" si="4"/>
        <v>839.99999999999989</v>
      </c>
      <c r="P7">
        <f t="shared" ref="P7:P10" si="8">M$5*C7</f>
        <v>900</v>
      </c>
      <c r="Q7" s="49">
        <f t="shared" ref="Q7:Q10" si="9">(P7-O7)/O7</f>
        <v>7.1428571428571577E-2</v>
      </c>
      <c r="R7">
        <f t="shared" si="5"/>
        <v>139.99999999999997</v>
      </c>
      <c r="S7">
        <f t="shared" si="5"/>
        <v>150</v>
      </c>
    </row>
    <row r="8" spans="2:19">
      <c r="B8" s="39" t="s">
        <v>113</v>
      </c>
      <c r="C8" s="39">
        <v>100</v>
      </c>
      <c r="D8" s="39" t="s">
        <v>114</v>
      </c>
      <c r="E8" s="39">
        <v>1450</v>
      </c>
      <c r="F8" s="39">
        <v>1740</v>
      </c>
      <c r="G8" s="39">
        <v>1600</v>
      </c>
      <c r="H8" s="39" t="s">
        <v>115</v>
      </c>
      <c r="I8" s="45">
        <f t="shared" si="0"/>
        <v>17.399999999999999</v>
      </c>
      <c r="J8" s="45">
        <f t="shared" si="1"/>
        <v>14.5</v>
      </c>
      <c r="K8" s="46">
        <f t="shared" si="6"/>
        <v>13.5</v>
      </c>
      <c r="L8" s="46">
        <f t="shared" si="2"/>
        <v>16.2</v>
      </c>
      <c r="M8" s="47">
        <f t="shared" si="7"/>
        <v>16.199999999999996</v>
      </c>
      <c r="N8" s="47">
        <f t="shared" si="3"/>
        <v>13.499999999999996</v>
      </c>
      <c r="O8">
        <f t="shared" si="4"/>
        <v>1619.9999999999995</v>
      </c>
      <c r="P8">
        <f t="shared" si="8"/>
        <v>1800</v>
      </c>
      <c r="Q8" s="49">
        <f t="shared" si="9"/>
        <v>0.11111111111111142</v>
      </c>
      <c r="R8">
        <f t="shared" si="5"/>
        <v>269.99999999999994</v>
      </c>
      <c r="S8">
        <f t="shared" si="5"/>
        <v>300</v>
      </c>
    </row>
    <row r="9" spans="2:19">
      <c r="B9" s="44" t="s">
        <v>116</v>
      </c>
      <c r="C9" s="44">
        <v>200</v>
      </c>
      <c r="D9" s="44" t="s">
        <v>117</v>
      </c>
      <c r="E9" s="44">
        <v>2800</v>
      </c>
      <c r="F9" s="44">
        <v>3360</v>
      </c>
      <c r="G9" s="44">
        <v>3200</v>
      </c>
      <c r="H9" s="44" t="s">
        <v>118</v>
      </c>
      <c r="I9" s="45">
        <f t="shared" si="0"/>
        <v>16.8</v>
      </c>
      <c r="J9" s="45">
        <f t="shared" si="1"/>
        <v>14</v>
      </c>
      <c r="K9" s="46">
        <f t="shared" si="6"/>
        <v>13</v>
      </c>
      <c r="L9" s="46">
        <f t="shared" si="2"/>
        <v>15.6</v>
      </c>
      <c r="M9" s="47">
        <f t="shared" si="7"/>
        <v>15.599999999999996</v>
      </c>
      <c r="N9" s="47">
        <f t="shared" si="3"/>
        <v>12.999999999999996</v>
      </c>
      <c r="O9">
        <f t="shared" si="4"/>
        <v>3119.9999999999991</v>
      </c>
      <c r="P9">
        <f t="shared" si="8"/>
        <v>3600</v>
      </c>
      <c r="Q9" s="49">
        <f t="shared" si="9"/>
        <v>0.15384615384615419</v>
      </c>
      <c r="R9">
        <f t="shared" si="5"/>
        <v>519.99999999999989</v>
      </c>
      <c r="S9">
        <f t="shared" si="5"/>
        <v>600</v>
      </c>
    </row>
    <row r="10" spans="2:19">
      <c r="B10" s="39" t="s">
        <v>119</v>
      </c>
      <c r="C10" s="39">
        <v>400</v>
      </c>
      <c r="D10" s="39" t="s">
        <v>120</v>
      </c>
      <c r="E10" s="39">
        <v>5400</v>
      </c>
      <c r="F10" s="39">
        <v>6480</v>
      </c>
      <c r="G10" s="39">
        <v>6400</v>
      </c>
      <c r="H10" s="39" t="s">
        <v>121</v>
      </c>
      <c r="I10" s="45">
        <f t="shared" si="0"/>
        <v>16.2</v>
      </c>
      <c r="J10" s="45">
        <f t="shared" si="1"/>
        <v>13.5</v>
      </c>
      <c r="K10" s="46">
        <f t="shared" si="6"/>
        <v>12.5</v>
      </c>
      <c r="L10" s="46">
        <f t="shared" si="2"/>
        <v>15</v>
      </c>
      <c r="M10" s="47">
        <f t="shared" si="7"/>
        <v>14.999999999999996</v>
      </c>
      <c r="N10" s="47">
        <f t="shared" si="3"/>
        <v>12.499999999999998</v>
      </c>
      <c r="O10">
        <f t="shared" si="4"/>
        <v>5999.9999999999982</v>
      </c>
      <c r="P10">
        <f t="shared" si="8"/>
        <v>7200</v>
      </c>
      <c r="Q10" s="49">
        <f t="shared" si="9"/>
        <v>0.20000000000000037</v>
      </c>
      <c r="R10">
        <f t="shared" si="5"/>
        <v>999.99999999999966</v>
      </c>
      <c r="S10">
        <f t="shared" si="5"/>
        <v>1200</v>
      </c>
    </row>
    <row r="14" spans="2:19" ht="15.75" thickBot="1">
      <c r="I14" s="50" t="s">
        <v>122</v>
      </c>
      <c r="J14" s="50" t="s">
        <v>123</v>
      </c>
      <c r="K14" s="50" t="s">
        <v>124</v>
      </c>
      <c r="L14" s="50" t="s">
        <v>125</v>
      </c>
    </row>
    <row r="15" spans="2:19" ht="30">
      <c r="I15" t="s">
        <v>126</v>
      </c>
      <c r="J15" s="51">
        <v>0.2</v>
      </c>
      <c r="K15" s="52">
        <v>0.2</v>
      </c>
      <c r="L15" s="49">
        <f>K15*J15</f>
        <v>4.0000000000000008E-2</v>
      </c>
      <c r="O15" s="53" t="s">
        <v>101</v>
      </c>
      <c r="P15" s="54" t="s">
        <v>98</v>
      </c>
      <c r="Q15" s="55" t="s">
        <v>96</v>
      </c>
      <c r="R15" s="56" t="s">
        <v>97</v>
      </c>
    </row>
    <row r="16" spans="2:19" ht="8.25" customHeight="1">
      <c r="I16" t="s">
        <v>127</v>
      </c>
      <c r="J16" s="51">
        <v>0.2</v>
      </c>
      <c r="K16" s="52">
        <v>0.2</v>
      </c>
      <c r="L16" s="49">
        <f t="shared" ref="L16:L19" si="10">K16*J16</f>
        <v>4.0000000000000008E-2</v>
      </c>
      <c r="O16" s="57"/>
      <c r="P16" s="46"/>
      <c r="Q16" s="46"/>
      <c r="R16" s="58"/>
    </row>
    <row r="17" spans="9:18">
      <c r="I17" t="s">
        <v>128</v>
      </c>
      <c r="J17" s="51">
        <v>0.2</v>
      </c>
      <c r="K17" s="52">
        <v>1</v>
      </c>
      <c r="L17" s="49">
        <f t="shared" si="10"/>
        <v>0.2</v>
      </c>
      <c r="O17" s="59" t="s">
        <v>104</v>
      </c>
      <c r="P17" s="60" t="s">
        <v>106</v>
      </c>
      <c r="Q17" s="46">
        <v>180</v>
      </c>
      <c r="R17" s="58">
        <v>180</v>
      </c>
    </row>
    <row r="18" spans="9:18">
      <c r="I18" t="s">
        <v>129</v>
      </c>
      <c r="J18" s="51">
        <v>0.2</v>
      </c>
      <c r="K18" s="52">
        <v>1</v>
      </c>
      <c r="L18" s="49">
        <f t="shared" si="10"/>
        <v>0.2</v>
      </c>
      <c r="O18" s="57" t="s">
        <v>107</v>
      </c>
      <c r="P18" s="61">
        <v>3.4482758620689793E-2</v>
      </c>
      <c r="Q18" s="46">
        <v>434.99999999999994</v>
      </c>
      <c r="R18" s="58">
        <v>450</v>
      </c>
    </row>
    <row r="19" spans="9:18">
      <c r="I19" t="s">
        <v>130</v>
      </c>
      <c r="J19" s="51">
        <v>0.2</v>
      </c>
      <c r="K19" s="52">
        <v>0.2</v>
      </c>
      <c r="L19" s="49">
        <f t="shared" si="10"/>
        <v>4.0000000000000008E-2</v>
      </c>
      <c r="O19" s="59" t="s">
        <v>110</v>
      </c>
      <c r="P19" s="61">
        <v>7.1428571428571577E-2</v>
      </c>
      <c r="Q19" s="46">
        <v>839.99999999999989</v>
      </c>
      <c r="R19" s="58">
        <v>900</v>
      </c>
    </row>
    <row r="20" spans="9:18">
      <c r="I20" t="s">
        <v>131</v>
      </c>
      <c r="J20" s="49">
        <f>(1-J15)*(1-J16)*(1-J17)*(1-J18)*(1-J19)</f>
        <v>0.32768000000000014</v>
      </c>
      <c r="K20" s="49"/>
      <c r="L20" s="49">
        <f>(1-L15)*(1-L16)*(1-L17)*(1-L18)*(1-L19)</f>
        <v>0.56623104000000002</v>
      </c>
      <c r="M20" s="49">
        <f>(1-L15)*(1-L16)*(1-L17)*(1-L18)*(1-L19)</f>
        <v>0.56623104000000002</v>
      </c>
      <c r="O20" s="57" t="s">
        <v>113</v>
      </c>
      <c r="P20" s="61">
        <v>0.11111111111111142</v>
      </c>
      <c r="Q20" s="46">
        <v>1619.9999999999995</v>
      </c>
      <c r="R20" s="58">
        <v>1800</v>
      </c>
    </row>
    <row r="21" spans="9:18">
      <c r="I21" t="s">
        <v>98</v>
      </c>
      <c r="J21" s="49">
        <f>1-J20</f>
        <v>0.67231999999999981</v>
      </c>
      <c r="L21" s="49">
        <f>1-L20</f>
        <v>0.43376895999999998</v>
      </c>
      <c r="O21" s="59" t="s">
        <v>116</v>
      </c>
      <c r="P21" s="61">
        <v>0.15384615384615419</v>
      </c>
      <c r="Q21" s="46">
        <v>3119.9999999999991</v>
      </c>
      <c r="R21" s="58">
        <v>3600</v>
      </c>
    </row>
    <row r="22" spans="9:18" ht="15.75" thickBot="1">
      <c r="O22" s="62" t="s">
        <v>119</v>
      </c>
      <c r="P22" s="63">
        <v>0.20000000000000037</v>
      </c>
      <c r="Q22" s="64">
        <v>5999.9999999999982</v>
      </c>
      <c r="R22" s="65">
        <v>7200</v>
      </c>
    </row>
  </sheetData>
  <mergeCells count="4">
    <mergeCell ref="C3:C4"/>
    <mergeCell ref="D3:D4"/>
    <mergeCell ref="F3:F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DATACOM</vt:lpstr>
      <vt:lpstr>MODULATION DHEURES PAR PERIODE</vt:lpstr>
      <vt:lpstr>IMPLICATION DE L'ACTEUR MAJEUR</vt:lpstr>
      <vt:lpstr>REPARTITION DES HRS</vt:lpstr>
      <vt:lpstr>RENTABILITE PAR TX DOCCUP</vt:lpstr>
      <vt:lpstr>POINT MORT PAR CHIFFRE DAFF</vt:lpstr>
      <vt:lpstr>IMPLICATION CORRELATION ACT MAJ</vt:lpstr>
      <vt:lpstr>DATAFI</vt:lpstr>
      <vt:lpstr>CALCUL FORFAITAIRE</vt:lpstr>
      <vt:lpstr>BUSINESS PLAN</vt:lpstr>
      <vt:lpstr>INDICATEUR</vt:lpstr>
      <vt:lpstr>TABLEAU DE BORD</vt:lpstr>
      <vt:lpstr>turnover"centraux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2015-08-31T16:21:42Z</dcterms:created>
  <dcterms:modified xsi:type="dcterms:W3CDTF">2015-10-28T10:31:14Z</dcterms:modified>
</cp:coreProperties>
</file>